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310"/>
  </bookViews>
  <sheets>
    <sheet name="Puntos de Generación" sheetId="1" r:id="rId1"/>
    <sheet name="Conf." sheetId="2" state="hidden" r:id="rId2"/>
  </sheets>
  <calcPr calcId="145621"/>
</workbook>
</file>

<file path=xl/calcChain.xml><?xml version="1.0" encoding="utf-8"?>
<calcChain xmlns="http://schemas.openxmlformats.org/spreadsheetml/2006/main">
  <c r="E599" i="2" l="1"/>
  <c r="E367" i="2"/>
  <c r="E638" i="2"/>
  <c r="E630" i="2"/>
  <c r="E622" i="2"/>
  <c r="E614" i="2"/>
  <c r="E606" i="2"/>
  <c r="E598" i="2"/>
  <c r="E590" i="2"/>
  <c r="E582" i="2"/>
  <c r="E574" i="2"/>
  <c r="E566" i="2"/>
  <c r="E558" i="2"/>
  <c r="E550" i="2"/>
  <c r="E542" i="2"/>
  <c r="E534" i="2"/>
  <c r="E526" i="2"/>
  <c r="E518" i="2"/>
  <c r="E510" i="2"/>
  <c r="E502" i="2"/>
  <c r="E494" i="2"/>
  <c r="E486" i="2"/>
  <c r="E478" i="2"/>
  <c r="E470" i="2"/>
  <c r="E462" i="2"/>
  <c r="E454" i="2"/>
  <c r="E446" i="2"/>
  <c r="E438" i="2"/>
  <c r="E430" i="2"/>
  <c r="E422" i="2"/>
  <c r="E414" i="2"/>
  <c r="E406" i="2"/>
  <c r="E398" i="2"/>
  <c r="E390" i="2"/>
  <c r="E382" i="2"/>
  <c r="E374" i="2"/>
  <c r="E366" i="2"/>
  <c r="E358" i="2"/>
  <c r="E350" i="2"/>
  <c r="E342" i="2"/>
  <c r="E334" i="2"/>
  <c r="E326" i="2"/>
  <c r="E318" i="2"/>
  <c r="E310" i="2"/>
  <c r="E302" i="2"/>
  <c r="E294" i="2"/>
  <c r="E286" i="2"/>
  <c r="E278" i="2"/>
  <c r="E270" i="2"/>
  <c r="E262" i="2"/>
  <c r="E254" i="2"/>
  <c r="E246" i="2"/>
  <c r="E238" i="2"/>
  <c r="E230" i="2"/>
  <c r="E222" i="2"/>
  <c r="E214" i="2"/>
  <c r="E206" i="2"/>
  <c r="E198" i="2"/>
  <c r="E190" i="2"/>
  <c r="E182" i="2"/>
  <c r="E174" i="2"/>
  <c r="E166" i="2"/>
  <c r="E637" i="2"/>
  <c r="E629" i="2"/>
  <c r="E621" i="2"/>
  <c r="E613" i="2"/>
  <c r="E605" i="2"/>
  <c r="E597" i="2"/>
  <c r="E589" i="2"/>
  <c r="E581" i="2"/>
  <c r="E573" i="2"/>
  <c r="E565" i="2"/>
  <c r="E557" i="2"/>
  <c r="E549" i="2"/>
  <c r="E541" i="2"/>
  <c r="E533" i="2"/>
  <c r="E525" i="2"/>
  <c r="E517" i="2"/>
  <c r="E509" i="2"/>
  <c r="E501" i="2"/>
  <c r="E493" i="2"/>
  <c r="E485" i="2"/>
  <c r="E477" i="2"/>
  <c r="E469" i="2"/>
  <c r="E461" i="2"/>
  <c r="E453" i="2"/>
  <c r="E445" i="2"/>
  <c r="E437" i="2"/>
  <c r="E429" i="2"/>
  <c r="E421" i="2"/>
  <c r="E413" i="2"/>
  <c r="E405" i="2"/>
  <c r="E397" i="2"/>
  <c r="E389" i="2"/>
  <c r="E381" i="2"/>
  <c r="E373" i="2"/>
  <c r="E365" i="2"/>
  <c r="E357" i="2"/>
  <c r="E349" i="2"/>
  <c r="E341" i="2"/>
  <c r="E333" i="2"/>
  <c r="E325" i="2"/>
  <c r="E317" i="2"/>
  <c r="E309" i="2"/>
  <c r="E301" i="2"/>
  <c r="E293" i="2"/>
  <c r="E285" i="2"/>
  <c r="E277" i="2"/>
  <c r="E269" i="2"/>
  <c r="E261" i="2"/>
  <c r="E253" i="2"/>
  <c r="E245" i="2"/>
  <c r="E237" i="2"/>
  <c r="E229" i="2"/>
  <c r="E221" i="2"/>
  <c r="E213" i="2"/>
  <c r="E205" i="2"/>
  <c r="E197" i="2"/>
  <c r="E189" i="2"/>
  <c r="E181" i="2"/>
  <c r="E173" i="2"/>
  <c r="E165" i="2"/>
  <c r="E636" i="2"/>
  <c r="E628" i="2"/>
  <c r="E620" i="2"/>
  <c r="E612" i="2"/>
  <c r="E604" i="2"/>
  <c r="E596" i="2"/>
  <c r="E588" i="2"/>
  <c r="E580" i="2"/>
  <c r="E572" i="2"/>
  <c r="E564" i="2"/>
  <c r="E556" i="2"/>
  <c r="E548" i="2"/>
  <c r="E540" i="2"/>
  <c r="E532" i="2"/>
  <c r="E524" i="2"/>
  <c r="E516" i="2"/>
  <c r="E508" i="2"/>
  <c r="E500" i="2"/>
  <c r="E492" i="2"/>
  <c r="E484" i="2"/>
  <c r="E476" i="2"/>
  <c r="E468" i="2"/>
  <c r="E460" i="2"/>
  <c r="E452" i="2"/>
  <c r="E444" i="2"/>
  <c r="E436" i="2"/>
  <c r="E428" i="2"/>
  <c r="E420" i="2"/>
  <c r="E412" i="2"/>
  <c r="E404" i="2"/>
  <c r="E396" i="2"/>
  <c r="E388" i="2"/>
  <c r="E380" i="2"/>
  <c r="E372" i="2"/>
  <c r="E364" i="2"/>
  <c r="E356" i="2"/>
  <c r="E348" i="2"/>
  <c r="E340" i="2"/>
  <c r="E332" i="2"/>
  <c r="E324" i="2"/>
  <c r="E316" i="2"/>
  <c r="E308" i="2"/>
  <c r="E300" i="2"/>
  <c r="E292" i="2"/>
  <c r="E284" i="2"/>
  <c r="E276" i="2"/>
  <c r="E268" i="2"/>
  <c r="E260" i="2"/>
  <c r="E252" i="2"/>
  <c r="E244" i="2"/>
  <c r="E236" i="2"/>
  <c r="E228" i="2"/>
  <c r="E220" i="2"/>
  <c r="E212" i="2"/>
  <c r="E204" i="2"/>
  <c r="E196" i="2"/>
  <c r="E188" i="2"/>
  <c r="E180" i="2"/>
  <c r="E172" i="2"/>
  <c r="E164" i="2"/>
  <c r="E156" i="2"/>
  <c r="E148" i="2"/>
  <c r="E140" i="2"/>
  <c r="E132" i="2"/>
  <c r="E124" i="2"/>
  <c r="E116" i="2"/>
  <c r="E108" i="2"/>
  <c r="E100" i="2"/>
  <c r="E92" i="2"/>
  <c r="E84" i="2"/>
  <c r="E76" i="2"/>
  <c r="E68" i="2"/>
  <c r="E60" i="2"/>
  <c r="E52" i="2"/>
  <c r="E44" i="2"/>
  <c r="E36" i="2"/>
  <c r="E28" i="2"/>
  <c r="E20" i="2"/>
  <c r="E12" i="2"/>
  <c r="E4" i="2"/>
  <c r="E635" i="2"/>
  <c r="E627" i="2"/>
  <c r="E619" i="2"/>
  <c r="E611" i="2"/>
  <c r="E603" i="2"/>
  <c r="E595" i="2"/>
  <c r="E579" i="2"/>
  <c r="E571" i="2"/>
  <c r="E563" i="2"/>
  <c r="E555" i="2"/>
  <c r="E547" i="2"/>
  <c r="E539" i="2"/>
  <c r="E531" i="2"/>
  <c r="E523" i="2"/>
  <c r="E515" i="2"/>
  <c r="E507" i="2"/>
  <c r="E499" i="2"/>
  <c r="E491" i="2"/>
  <c r="E483" i="2"/>
  <c r="E475" i="2"/>
  <c r="E467" i="2"/>
  <c r="E459" i="2"/>
  <c r="E451" i="2"/>
  <c r="E443" i="2"/>
  <c r="E435" i="2"/>
  <c r="E427" i="2"/>
  <c r="E419" i="2"/>
  <c r="E411" i="2"/>
  <c r="E403" i="2"/>
  <c r="E395" i="2"/>
  <c r="E387" i="2"/>
  <c r="E379" i="2"/>
  <c r="E371" i="2"/>
  <c r="E363" i="2"/>
  <c r="E355" i="2"/>
  <c r="E347" i="2"/>
  <c r="E339" i="2"/>
  <c r="E331" i="2"/>
  <c r="E323" i="2"/>
  <c r="E307" i="2"/>
  <c r="E299" i="2"/>
  <c r="E291" i="2"/>
  <c r="E283" i="2"/>
  <c r="E275" i="2"/>
  <c r="E267" i="2"/>
  <c r="E259" i="2"/>
  <c r="E251" i="2"/>
  <c r="E587" i="2"/>
  <c r="E634" i="2"/>
  <c r="E626" i="2"/>
  <c r="E618" i="2"/>
  <c r="E610" i="2"/>
  <c r="E602" i="2"/>
  <c r="E594" i="2"/>
  <c r="E586" i="2"/>
  <c r="E578" i="2"/>
  <c r="E570" i="2"/>
  <c r="E562" i="2"/>
  <c r="E554" i="2"/>
  <c r="E546" i="2"/>
  <c r="E538" i="2"/>
  <c r="E530" i="2"/>
  <c r="E522" i="2"/>
  <c r="E514" i="2"/>
  <c r="E506" i="2"/>
  <c r="E498" i="2"/>
  <c r="E490" i="2"/>
  <c r="E482" i="2"/>
  <c r="E474" i="2"/>
  <c r="E466" i="2"/>
  <c r="E458" i="2"/>
  <c r="E450" i="2"/>
  <c r="E442" i="2"/>
  <c r="E434" i="2"/>
  <c r="E426" i="2"/>
  <c r="E418" i="2"/>
  <c r="E410" i="2"/>
  <c r="E402" i="2"/>
  <c r="E394" i="2"/>
  <c r="E386" i="2"/>
  <c r="E378" i="2"/>
  <c r="E370" i="2"/>
  <c r="E362" i="2"/>
  <c r="E354" i="2"/>
  <c r="E346" i="2"/>
  <c r="E338" i="2"/>
  <c r="E330" i="2"/>
  <c r="E322" i="2"/>
  <c r="E314" i="2"/>
  <c r="E306" i="2"/>
  <c r="E298" i="2"/>
  <c r="E290" i="2"/>
  <c r="E282" i="2"/>
  <c r="E274" i="2"/>
  <c r="E266" i="2"/>
  <c r="E258" i="2"/>
  <c r="E250" i="2"/>
  <c r="E242" i="2"/>
  <c r="E234" i="2"/>
  <c r="E226" i="2"/>
  <c r="E218" i="2"/>
  <c r="E210" i="2"/>
  <c r="E202" i="2"/>
  <c r="E194" i="2"/>
  <c r="E186" i="2"/>
  <c r="E178" i="2"/>
  <c r="E170" i="2"/>
  <c r="E162" i="2"/>
  <c r="E154" i="2"/>
  <c r="E633" i="2"/>
  <c r="E625" i="2"/>
  <c r="E617" i="2"/>
  <c r="E609" i="2"/>
  <c r="E601" i="2"/>
  <c r="E593" i="2"/>
  <c r="E585" i="2"/>
  <c r="E577" i="2"/>
  <c r="E569" i="2"/>
  <c r="E561" i="2"/>
  <c r="E553" i="2"/>
  <c r="E545" i="2"/>
  <c r="E537" i="2"/>
  <c r="E529" i="2"/>
  <c r="E521" i="2"/>
  <c r="E513" i="2"/>
  <c r="E505" i="2"/>
  <c r="E497" i="2"/>
  <c r="E489" i="2"/>
  <c r="E481" i="2"/>
  <c r="E473" i="2"/>
  <c r="E465" i="2"/>
  <c r="E457" i="2"/>
  <c r="E449" i="2"/>
  <c r="E441" i="2"/>
  <c r="E433" i="2"/>
  <c r="E425" i="2"/>
  <c r="E417" i="2"/>
  <c r="E409" i="2"/>
  <c r="E401" i="2"/>
  <c r="E393" i="2"/>
  <c r="E385" i="2"/>
  <c r="E377" i="2"/>
  <c r="E369" i="2"/>
  <c r="E361" i="2"/>
  <c r="E353" i="2"/>
  <c r="E345" i="2"/>
  <c r="E337" i="2"/>
  <c r="E329" i="2"/>
  <c r="E321" i="2"/>
  <c r="E313" i="2"/>
  <c r="E305" i="2"/>
  <c r="E297" i="2"/>
  <c r="E289" i="2"/>
  <c r="E281" i="2"/>
  <c r="E273" i="2"/>
  <c r="E265" i="2"/>
  <c r="E257" i="2"/>
  <c r="E249" i="2"/>
  <c r="E241" i="2"/>
  <c r="E233" i="2"/>
  <c r="E225" i="2"/>
  <c r="E217" i="2"/>
  <c r="E209" i="2"/>
  <c r="E201" i="2"/>
  <c r="E193" i="2"/>
  <c r="E632" i="2"/>
  <c r="E624" i="2"/>
  <c r="E616" i="2"/>
  <c r="E608" i="2"/>
  <c r="E600" i="2"/>
  <c r="E592" i="2"/>
  <c r="E584" i="2"/>
  <c r="E576" i="2"/>
  <c r="E568" i="2"/>
  <c r="E560" i="2"/>
  <c r="E552" i="2"/>
  <c r="E544" i="2"/>
  <c r="E536" i="2"/>
  <c r="E528" i="2"/>
  <c r="E520" i="2"/>
  <c r="E512" i="2"/>
  <c r="E504" i="2"/>
  <c r="E496" i="2"/>
  <c r="E488" i="2"/>
  <c r="E480" i="2"/>
  <c r="E472" i="2"/>
  <c r="E464" i="2"/>
  <c r="E456" i="2"/>
  <c r="E448" i="2"/>
  <c r="E440" i="2"/>
  <c r="E432" i="2"/>
  <c r="E424" i="2"/>
  <c r="E416" i="2"/>
  <c r="E408" i="2"/>
  <c r="E400" i="2"/>
  <c r="E392" i="2"/>
  <c r="E384" i="2"/>
  <c r="E376" i="2"/>
  <c r="E368" i="2"/>
  <c r="E360" i="2"/>
  <c r="E352" i="2"/>
  <c r="E344" i="2"/>
  <c r="E336" i="2"/>
  <c r="E328" i="2"/>
  <c r="E320" i="2"/>
  <c r="E312" i="2"/>
  <c r="E304" i="2"/>
  <c r="E296" i="2"/>
  <c r="E288" i="2"/>
  <c r="E280" i="2"/>
  <c r="E272" i="2"/>
  <c r="E264" i="2"/>
  <c r="E256" i="2"/>
  <c r="E248" i="2"/>
  <c r="E240" i="2"/>
  <c r="E232" i="2"/>
  <c r="E224" i="2"/>
  <c r="E216" i="2"/>
  <c r="E208" i="2"/>
  <c r="E200" i="2"/>
  <c r="E192" i="2"/>
  <c r="E184" i="2"/>
  <c r="E176" i="2"/>
  <c r="E168" i="2"/>
  <c r="E160" i="2"/>
  <c r="E152" i="2"/>
  <c r="E144" i="2"/>
  <c r="E136" i="2"/>
  <c r="E128" i="2"/>
  <c r="E120" i="2"/>
  <c r="E112" i="2"/>
  <c r="E104" i="2"/>
  <c r="E96" i="2"/>
  <c r="E88" i="2"/>
  <c r="E80" i="2"/>
  <c r="E72" i="2"/>
  <c r="E64" i="2"/>
  <c r="E56" i="2"/>
  <c r="E48" i="2"/>
  <c r="E40" i="2"/>
  <c r="E32" i="2"/>
  <c r="E24" i="2"/>
  <c r="E16" i="2"/>
  <c r="E8" i="2"/>
  <c r="E639" i="2"/>
  <c r="E631" i="2"/>
  <c r="E623" i="2"/>
  <c r="E615" i="2"/>
  <c r="E607" i="2"/>
  <c r="E591" i="2"/>
  <c r="E583" i="2"/>
  <c r="E575" i="2"/>
  <c r="E567" i="2"/>
  <c r="E559" i="2"/>
  <c r="E551" i="2"/>
  <c r="E543" i="2"/>
  <c r="E535" i="2"/>
  <c r="E527" i="2"/>
  <c r="E519" i="2"/>
  <c r="E511" i="2"/>
  <c r="E503" i="2"/>
  <c r="E495" i="2"/>
  <c r="E487" i="2"/>
  <c r="E479" i="2"/>
  <c r="E471" i="2"/>
  <c r="E463" i="2"/>
  <c r="E455" i="2"/>
  <c r="E447" i="2"/>
  <c r="E439" i="2"/>
  <c r="E431" i="2"/>
  <c r="E423" i="2"/>
  <c r="E415" i="2"/>
  <c r="E407" i="2"/>
  <c r="E399" i="2"/>
  <c r="E391" i="2"/>
  <c r="E383" i="2"/>
  <c r="E375" i="2"/>
  <c r="E359" i="2"/>
  <c r="E351" i="2"/>
  <c r="E343" i="2"/>
  <c r="E335" i="2"/>
  <c r="E327" i="2"/>
  <c r="E319" i="2"/>
  <c r="E311" i="2"/>
  <c r="E303" i="2"/>
  <c r="E295" i="2"/>
  <c r="E239" i="2"/>
  <c r="E207" i="2"/>
  <c r="E179" i="2"/>
  <c r="E159" i="2"/>
  <c r="E147" i="2"/>
  <c r="E137" i="2"/>
  <c r="E126" i="2"/>
  <c r="E115" i="2"/>
  <c r="E105" i="2"/>
  <c r="E94" i="2"/>
  <c r="E83" i="2"/>
  <c r="E73" i="2"/>
  <c r="E62" i="2"/>
  <c r="E51" i="2"/>
  <c r="E41" i="2"/>
  <c r="E30" i="2"/>
  <c r="E19" i="2"/>
  <c r="E9" i="2"/>
  <c r="E50" i="2"/>
  <c r="E29" i="2"/>
  <c r="E7" i="2"/>
  <c r="E91" i="2"/>
  <c r="E59" i="2"/>
  <c r="E27" i="2"/>
  <c r="E6" i="2"/>
  <c r="E227" i="2"/>
  <c r="E171" i="2"/>
  <c r="E133" i="2"/>
  <c r="E101" i="2"/>
  <c r="E79" i="2"/>
  <c r="E47" i="2"/>
  <c r="E26" i="2"/>
  <c r="E263" i="2"/>
  <c r="E169" i="2"/>
  <c r="E131" i="2"/>
  <c r="E99" i="2"/>
  <c r="E78" i="2"/>
  <c r="E35" i="2"/>
  <c r="E14" i="2"/>
  <c r="E219" i="2"/>
  <c r="E130" i="2"/>
  <c r="E98" i="2"/>
  <c r="E77" i="2"/>
  <c r="E34" i="2"/>
  <c r="E23" i="2"/>
  <c r="E42" i="2"/>
  <c r="E287" i="2"/>
  <c r="E235" i="2"/>
  <c r="E203" i="2"/>
  <c r="E177" i="2"/>
  <c r="E158" i="2"/>
  <c r="E146" i="2"/>
  <c r="E135" i="2"/>
  <c r="E125" i="2"/>
  <c r="E114" i="2"/>
  <c r="E103" i="2"/>
  <c r="E93" i="2"/>
  <c r="E82" i="2"/>
  <c r="E71" i="2"/>
  <c r="E61" i="2"/>
  <c r="E39" i="2"/>
  <c r="E18" i="2"/>
  <c r="E102" i="2"/>
  <c r="E70" i="2"/>
  <c r="E49" i="2"/>
  <c r="E17" i="2"/>
  <c r="E271" i="2"/>
  <c r="E155" i="2"/>
  <c r="E122" i="2"/>
  <c r="E90" i="2"/>
  <c r="E58" i="2"/>
  <c r="E37" i="2"/>
  <c r="E5" i="2"/>
  <c r="E223" i="2"/>
  <c r="E153" i="2"/>
  <c r="E121" i="2"/>
  <c r="E89" i="2"/>
  <c r="E67" i="2"/>
  <c r="E46" i="2"/>
  <c r="E3" i="2"/>
  <c r="E187" i="2"/>
  <c r="E151" i="2"/>
  <c r="E119" i="2"/>
  <c r="E109" i="2"/>
  <c r="E66" i="2"/>
  <c r="E45" i="2"/>
  <c r="E13" i="2"/>
  <c r="E31" i="2"/>
  <c r="E279" i="2"/>
  <c r="E231" i="2"/>
  <c r="E199" i="2"/>
  <c r="E175" i="2"/>
  <c r="E157" i="2"/>
  <c r="E145" i="2"/>
  <c r="E134" i="2"/>
  <c r="E123" i="2"/>
  <c r="E113" i="2"/>
  <c r="E81" i="2"/>
  <c r="E38" i="2"/>
  <c r="E195" i="2"/>
  <c r="E143" i="2"/>
  <c r="E111" i="2"/>
  <c r="E69" i="2"/>
  <c r="E15" i="2"/>
  <c r="E191" i="2"/>
  <c r="E142" i="2"/>
  <c r="E110" i="2"/>
  <c r="E57" i="2"/>
  <c r="E25" i="2"/>
  <c r="E255" i="2"/>
  <c r="E167" i="2"/>
  <c r="E141" i="2"/>
  <c r="E87" i="2"/>
  <c r="E55" i="2"/>
  <c r="E2" i="2"/>
  <c r="E10" i="2"/>
  <c r="E247" i="2"/>
  <c r="E215" i="2"/>
  <c r="E185" i="2"/>
  <c r="E163" i="2"/>
  <c r="E150" i="2"/>
  <c r="E139" i="2"/>
  <c r="E129" i="2"/>
  <c r="E118" i="2"/>
  <c r="E107" i="2"/>
  <c r="E97" i="2"/>
  <c r="E86" i="2"/>
  <c r="E75" i="2"/>
  <c r="E65" i="2"/>
  <c r="E54" i="2"/>
  <c r="E43" i="2"/>
  <c r="E33" i="2"/>
  <c r="E22" i="2"/>
  <c r="E11" i="2"/>
  <c r="E315" i="2"/>
  <c r="E243" i="2"/>
  <c r="E211" i="2"/>
  <c r="E183" i="2"/>
  <c r="E161" i="2"/>
  <c r="E149" i="2"/>
  <c r="E138" i="2"/>
  <c r="E127" i="2"/>
  <c r="E117" i="2"/>
  <c r="E106" i="2"/>
  <c r="E95" i="2"/>
  <c r="E85" i="2"/>
  <c r="E74" i="2"/>
  <c r="E63" i="2"/>
  <c r="E53" i="2"/>
  <c r="E21" i="2"/>
</calcChain>
</file>

<file path=xl/sharedStrings.xml><?xml version="1.0" encoding="utf-8"?>
<sst xmlns="http://schemas.openxmlformats.org/spreadsheetml/2006/main" count="1053" uniqueCount="743">
  <si>
    <t>GENERADOR</t>
  </si>
  <si>
    <t>CARACTERIZACIÓN DEL RESIDUO ESPECIAL</t>
  </si>
  <si>
    <t>Punto de generación</t>
  </si>
  <si>
    <t>Estado físico</t>
  </si>
  <si>
    <t>Cantidad (m3)</t>
  </si>
  <si>
    <t xml:space="preserve">La presente documentación reviste carácter de declaración jurada. </t>
  </si>
  <si>
    <t>Estado</t>
  </si>
  <si>
    <t>Categorías</t>
  </si>
  <si>
    <t>Tipo de tratamiento</t>
  </si>
  <si>
    <t>Empresas</t>
  </si>
  <si>
    <t xml:space="preserve">Líquido </t>
  </si>
  <si>
    <t>Y1</t>
  </si>
  <si>
    <t>D1</t>
  </si>
  <si>
    <t>Pecom Servicios Energía S.A.</t>
  </si>
  <si>
    <t>Sólido</t>
  </si>
  <si>
    <t>Y2</t>
  </si>
  <si>
    <t>D2</t>
  </si>
  <si>
    <t>Servicios Herrera S.R.L.</t>
  </si>
  <si>
    <t>Semi-sólido</t>
  </si>
  <si>
    <t>Y3</t>
  </si>
  <si>
    <t>D3</t>
  </si>
  <si>
    <t>Bolland y Cía S.A.</t>
  </si>
  <si>
    <t>Y4</t>
  </si>
  <si>
    <t>D4</t>
  </si>
  <si>
    <t>Australquim S.R.L.</t>
  </si>
  <si>
    <t>Y5</t>
  </si>
  <si>
    <t>D5</t>
  </si>
  <si>
    <t>Proexport S.A.</t>
  </si>
  <si>
    <t>Y6</t>
  </si>
  <si>
    <t>D6</t>
  </si>
  <si>
    <t>WILOG Servicios S.A.</t>
  </si>
  <si>
    <t>Y7</t>
  </si>
  <si>
    <t>D7</t>
  </si>
  <si>
    <t>INDAR S.A.</t>
  </si>
  <si>
    <t>Y8</t>
  </si>
  <si>
    <t>D8</t>
  </si>
  <si>
    <t>HSEQ Argentina</t>
  </si>
  <si>
    <t>Y9</t>
  </si>
  <si>
    <t>D9</t>
  </si>
  <si>
    <t>Petróleos Sudamericanos S.A.</t>
  </si>
  <si>
    <t>Y10</t>
  </si>
  <si>
    <t>R1</t>
  </si>
  <si>
    <t>ACA</t>
  </si>
  <si>
    <t>Y11</t>
  </si>
  <si>
    <t>R2</t>
  </si>
  <si>
    <t xml:space="preserve">Transportes Crexell S.A.
</t>
  </si>
  <si>
    <t>Y12</t>
  </si>
  <si>
    <t>R3</t>
  </si>
  <si>
    <t>Capex S.A.</t>
  </si>
  <si>
    <t>Y13</t>
  </si>
  <si>
    <t>R4</t>
  </si>
  <si>
    <t>CN SAPAG S.A.</t>
  </si>
  <si>
    <t>Y14</t>
  </si>
  <si>
    <t>R5</t>
  </si>
  <si>
    <t>Biosum S.R.L.</t>
  </si>
  <si>
    <t>Y15</t>
  </si>
  <si>
    <t>R6</t>
  </si>
  <si>
    <t>Servicios HLB S.A</t>
  </si>
  <si>
    <t>Y16</t>
  </si>
  <si>
    <t>R7</t>
  </si>
  <si>
    <t>President Petroleum S.A.</t>
  </si>
  <si>
    <t>Y17</t>
  </si>
  <si>
    <t>R8</t>
  </si>
  <si>
    <t>RA Servicios Generales S.R.L.</t>
  </si>
  <si>
    <t>Y18</t>
  </si>
  <si>
    <t>R9</t>
  </si>
  <si>
    <t>SKANSKA</t>
  </si>
  <si>
    <t>Y19</t>
  </si>
  <si>
    <t>R10</t>
  </si>
  <si>
    <t>E.S. OPESSA</t>
  </si>
  <si>
    <t>Y20</t>
  </si>
  <si>
    <t>R11</t>
  </si>
  <si>
    <t>Grupo Vía Bariloche</t>
  </si>
  <si>
    <t>Y21</t>
  </si>
  <si>
    <t>R12</t>
  </si>
  <si>
    <t>TREATER Soluciones Ambientales</t>
  </si>
  <si>
    <t>Y22</t>
  </si>
  <si>
    <t>R13</t>
  </si>
  <si>
    <t>Oldelval S.A.</t>
  </si>
  <si>
    <t>Y23</t>
  </si>
  <si>
    <t>Ambient All S.R.L.</t>
  </si>
  <si>
    <t>Y24</t>
  </si>
  <si>
    <t>SEGAR S.A.</t>
  </si>
  <si>
    <t>Y25</t>
  </si>
  <si>
    <t>All Road S.A.</t>
  </si>
  <si>
    <t>Y26</t>
  </si>
  <si>
    <t>Lahue Servicios Petroleros S.R.L.</t>
  </si>
  <si>
    <t>Y27</t>
  </si>
  <si>
    <t>EcoAmbiental S.A.</t>
  </si>
  <si>
    <t>Y28</t>
  </si>
  <si>
    <t>Servicios Petroleros MIRASAL S.A.</t>
  </si>
  <si>
    <t>Y29</t>
  </si>
  <si>
    <t>Madalena Petroleum Americas Ltd.</t>
  </si>
  <si>
    <t>Y30</t>
  </si>
  <si>
    <t>Enviromental Services S.R.L.</t>
  </si>
  <si>
    <t>Y31</t>
  </si>
  <si>
    <t>PEGO S.A.</t>
  </si>
  <si>
    <t>Y32</t>
  </si>
  <si>
    <t>CGC S.A.</t>
  </si>
  <si>
    <t>Y33</t>
  </si>
  <si>
    <t>Vial Agro S.A.</t>
  </si>
  <si>
    <t>Y34</t>
  </si>
  <si>
    <t>Quinpe S.R.L.</t>
  </si>
  <si>
    <t>Y35</t>
  </si>
  <si>
    <t>TGS S.A.</t>
  </si>
  <si>
    <t>Y36</t>
  </si>
  <si>
    <t>Tres G S.R.L.</t>
  </si>
  <si>
    <t>Y37</t>
  </si>
  <si>
    <t>Grupo Horizonte S.R.L.</t>
  </si>
  <si>
    <t>Y38</t>
  </si>
  <si>
    <t>E.S. Servicios Cipolletti S.R.L.</t>
  </si>
  <si>
    <t>Y39</t>
  </si>
  <si>
    <t>Compañía TSB S.A.</t>
  </si>
  <si>
    <t>Y40</t>
  </si>
  <si>
    <t>Crisalis S.R.L.</t>
  </si>
  <si>
    <t>Y41</t>
  </si>
  <si>
    <t>YPF S.A.</t>
  </si>
  <si>
    <t>Y42</t>
  </si>
  <si>
    <t>Durlock S.A.</t>
  </si>
  <si>
    <t>Y43</t>
  </si>
  <si>
    <t>Proeco S.R.L.</t>
  </si>
  <si>
    <t>Y44</t>
  </si>
  <si>
    <t>Transporte Peduzzi S.R.L.</t>
  </si>
  <si>
    <t>EGN Ecogestion S.R.L.</t>
  </si>
  <si>
    <t>Tecpetrol S.A.</t>
  </si>
  <si>
    <t>Municipalidad de Cipolletti</t>
  </si>
  <si>
    <t>Kilwer S.A.</t>
  </si>
  <si>
    <t>INDUSLAB</t>
  </si>
  <si>
    <t>P. Tortoriello y cía. S.R.L.</t>
  </si>
  <si>
    <t>Soluciones Ambientales Patagonia S.A.</t>
  </si>
  <si>
    <t>Sullair Argentina S.A.</t>
  </si>
  <si>
    <t>JMB Ingeniería Ambiental S.A.</t>
  </si>
  <si>
    <t>Brava Group</t>
  </si>
  <si>
    <t>Armorique Motors S.A. Peugeot</t>
  </si>
  <si>
    <t>Tacker S.R.L.</t>
  </si>
  <si>
    <t>Tuboscope Vetco de Argentina S.A.</t>
  </si>
  <si>
    <t>Smith Int. A Schlumberger</t>
  </si>
  <si>
    <t>Guzman Gabriel</t>
  </si>
  <si>
    <t>Allen Clean S.R.L.</t>
  </si>
  <si>
    <t>Petrolera Aconcagua Energía</t>
  </si>
  <si>
    <t>Transporte Acuña S.R.L.</t>
  </si>
  <si>
    <t>WENLEN S.A.</t>
  </si>
  <si>
    <t>Transporte Gabino Celso Correa</t>
  </si>
  <si>
    <t>Moto Mecanica Argentina S.A</t>
  </si>
  <si>
    <t>Transporte Juan de Dios Rodríguez</t>
  </si>
  <si>
    <t>Nippon Car S.R.L</t>
  </si>
  <si>
    <t>KO-KO S.R.L.</t>
  </si>
  <si>
    <t>Via Bariloche S.A.</t>
  </si>
  <si>
    <t>Expro Argentina S.R.L.</t>
  </si>
  <si>
    <t>Agricheck S.R.L.</t>
  </si>
  <si>
    <t>Fierrodos S.A.</t>
  </si>
  <si>
    <t>Texproil S.R.L</t>
  </si>
  <si>
    <t>Transporte Pedro Ismael Rodríguez</t>
  </si>
  <si>
    <t>Prodeng S.A.</t>
  </si>
  <si>
    <t>Christensen Roder Argentina S.A.</t>
  </si>
  <si>
    <t>Weatherford Int. Arg. S.A.</t>
  </si>
  <si>
    <t>Cervecería y Maltería Quilmes SAICA y G</t>
  </si>
  <si>
    <t>Zavecom S.R.L</t>
  </si>
  <si>
    <t>AESA S.A.</t>
  </si>
  <si>
    <t>San Antonio International Oil &amp; Gas Services LLC</t>
  </si>
  <si>
    <t>Ente Ejecutivo Presa Embalse Casa de Piedra</t>
  </si>
  <si>
    <t>TLT S.R.L.</t>
  </si>
  <si>
    <t>Cerro Negro S.A.</t>
  </si>
  <si>
    <t>IPES S.A.</t>
  </si>
  <si>
    <t>Petróleos Sudamericanos S.A. Necon S.A. UTE</t>
  </si>
  <si>
    <t>Blok Oil Field Services S.A.</t>
  </si>
  <si>
    <t>Biorrem S.A.</t>
  </si>
  <si>
    <t>Sanovo Greenpack Argentina S.R.L.</t>
  </si>
  <si>
    <t>Departamento Provincial de Aguas</t>
  </si>
  <si>
    <t>Servicios Especiales San Antonio S.A.</t>
  </si>
  <si>
    <t>Servicios Conosur S.A.</t>
  </si>
  <si>
    <t>BIOSERVICES GROUP S.A.</t>
  </si>
  <si>
    <t>ENSURCO S.A</t>
  </si>
  <si>
    <t>DISAB SUDAMERICANA S.A.</t>
  </si>
  <si>
    <t>ALPAT S.A.I.C.</t>
  </si>
  <si>
    <t>ECOCHEM S.A</t>
  </si>
  <si>
    <t>FATELGO SRL</t>
  </si>
  <si>
    <t>BEFESA ARGENTINA S.A.</t>
  </si>
  <si>
    <t>SERVICIOS VERTUA S.A.</t>
  </si>
  <si>
    <t>TRANSPORTE OMAR A. MIGUEL</t>
  </si>
  <si>
    <t>ELECTROMAQ</t>
  </si>
  <si>
    <t>CENTRO CONSTRUCCIONES S.A.</t>
  </si>
  <si>
    <t>ENSI S.E</t>
  </si>
  <si>
    <t>URS CORPORATION S.A.</t>
  </si>
  <si>
    <t>GEOCIENCIA S.R.L.</t>
  </si>
  <si>
    <t>TRANS-ECOLOGICA S.R.L</t>
  </si>
  <si>
    <t>TRANSPORTES HERNANDEZ HUGO LUIS Y HECTOR OMAR</t>
  </si>
  <si>
    <t>E.T.T. S.A.</t>
  </si>
  <si>
    <t>AES-DISAB S.R.L</t>
  </si>
  <si>
    <t>DON MARIO SRL (ORELLANA)</t>
  </si>
  <si>
    <t>GUSTAVO H. DELLACANONICA/ NORMA IGLESIAS</t>
  </si>
  <si>
    <t>WELLDONE SRL</t>
  </si>
  <si>
    <t>SERPEI S.R.L.</t>
  </si>
  <si>
    <t>PALMERO SAICyAASOCIADOS</t>
  </si>
  <si>
    <t>TRANSPORTE DAMIAN TORRENTE</t>
  </si>
  <si>
    <t>HIGH PRESSURE VACUUM PETROLEUM SERVICES S.A.</t>
  </si>
  <si>
    <t>RAMIRO ARCEO SERVICIOS GENERALES</t>
  </si>
  <si>
    <t>FINNING ARGENTINA S.A.</t>
  </si>
  <si>
    <t>CONTRERAS HNOS. S.A</t>
  </si>
  <si>
    <t>J.K TRANSPORTE S.A</t>
  </si>
  <si>
    <t>COSAR S.A</t>
  </si>
  <si>
    <t>TRANSPORTES FERRERE E HIJOS SRL</t>
  </si>
  <si>
    <t>STAR S.A.</t>
  </si>
  <si>
    <t>ACRESIND S.H.</t>
  </si>
  <si>
    <t>BFU de ARGENTINA S.A.</t>
  </si>
  <si>
    <t>SOIL KEEPER S.A.</t>
  </si>
  <si>
    <t>TECOIL S.A.</t>
  </si>
  <si>
    <t>INTERGEO ARGENTINA S.A.</t>
  </si>
  <si>
    <t>MINERA AQUILINE S.A.</t>
  </si>
  <si>
    <t>EET S.A. SERVICIOS AMBIENTALES</t>
  </si>
  <si>
    <t>HAZTEC S.A.</t>
  </si>
  <si>
    <t>DESLER S.A.</t>
  </si>
  <si>
    <t>GENERAR S.R.L</t>
  </si>
  <si>
    <t>PORRETTI ENRIQUE</t>
  </si>
  <si>
    <t>SCUDELATI &amp; ASCOCIADOS SRL</t>
  </si>
  <si>
    <t>SYMEC S.A.</t>
  </si>
  <si>
    <t>SERMA S.A.</t>
  </si>
  <si>
    <t>TRANSCOMAHUE S.A</t>
  </si>
  <si>
    <t>MCC-MINERA SIERRA GRANDE</t>
  </si>
  <si>
    <t>ECOLAND S.A.</t>
  </si>
  <si>
    <t>SERVICIOS INDUSTRIALES PETROLEROS</t>
  </si>
  <si>
    <t>WILCO S.A.</t>
  </si>
  <si>
    <t>FLUIDTEC</t>
  </si>
  <si>
    <t>COCA COLA POLAR ARGENTINA S.A.</t>
  </si>
  <si>
    <t>TELEFONICA MOVILES ARGENTINAS S.A.</t>
  </si>
  <si>
    <t>HECTOR HUGO LORENZO</t>
  </si>
  <si>
    <t>ESSO PETROLERA ARGENTINA SRL</t>
  </si>
  <si>
    <t>TEXEY SRL</t>
  </si>
  <si>
    <t>KNIGHT PIESOLD ARGENTINA CONSULTORES S.A</t>
  </si>
  <si>
    <t>COMARSA</t>
  </si>
  <si>
    <t>MINERA CIELO AZUL S.A.</t>
  </si>
  <si>
    <t>GEN SRL</t>
  </si>
  <si>
    <t>CIA. CORRAL MINERA INDUSTRIAinduL Y COMERCIAL S.A.</t>
  </si>
  <si>
    <t>INVAP S.E.</t>
  </si>
  <si>
    <t>LA ECOLOGICA DEL SUR</t>
  </si>
  <si>
    <t>INTEGRAL SERVICIOS-DELIA HERRERA ACEVEDO</t>
  </si>
  <si>
    <t>SERVICIOS GEDEON</t>
  </si>
  <si>
    <t>REAL WORK SRL</t>
  </si>
  <si>
    <t>SAITT SRL</t>
  </si>
  <si>
    <t>MEDANITO S.A.</t>
  </si>
  <si>
    <t>YPF LA ROTONDA</t>
  </si>
  <si>
    <t>POZZO ARDIZZI S.A.</t>
  </si>
  <si>
    <t>LUIS ALONSO Y CIA. SCC</t>
  </si>
  <si>
    <t>VALLE FULL SRL-ESTACION DE SERVICIOS</t>
  </si>
  <si>
    <t>PANISSE OLGA Y ACUÑA SUSANA SH-ESTACION DE SERVICI</t>
  </si>
  <si>
    <t>FERNANDO PAWLY SRL-ESTACION DE SERVICIOS</t>
  </si>
  <si>
    <t>ZGAIB DANIEL OSCAR-ESTACION DE SERVCICIOS</t>
  </si>
  <si>
    <t>DI CLERICO HECTOR ARMANDO-ESTACION DE SERVICIOS</t>
  </si>
  <si>
    <t>MATIAS CALVO SACI - ESTACION DE SERVICIOS</t>
  </si>
  <si>
    <t>JORGE SANTIAGO COGNIGNI Y JORGE HUGO COGNIGNI SH -</t>
  </si>
  <si>
    <t>PETROSUR SRL</t>
  </si>
  <si>
    <t>E.S. Río Salado S.R.L.</t>
  </si>
  <si>
    <t>ESTABLECIMIENTO LA 251 SRL</t>
  </si>
  <si>
    <t>ELOSEGUI HNOS. S.A.</t>
  </si>
  <si>
    <t>YPF S.A.-ESTACION DE SERVICIOS</t>
  </si>
  <si>
    <t>CONSTRUCCIONES Y COMERCIO CAMARGO CORREA S.A.</t>
  </si>
  <si>
    <t>FUNDACIONES ESPECIALES S.A.</t>
  </si>
  <si>
    <t>TRANSPORTES HECTOR OMAR MONTESINO</t>
  </si>
  <si>
    <t>TRANSPORTES PONCE</t>
  </si>
  <si>
    <t>TRANSPORTES LOS CUATRO HERMANOS</t>
  </si>
  <si>
    <t>KIOSHI S.A.</t>
  </si>
  <si>
    <t>TI SE SERVICIOS SRL</t>
  </si>
  <si>
    <t>ZILLE SRL</t>
  </si>
  <si>
    <t>GRUPO ISOLUX CORSAN S.A.</t>
  </si>
  <si>
    <t>HIPARSA (EN LIQUIDACION)</t>
  </si>
  <si>
    <t>PETROLTEC RIONEGRINA S.A.</t>
  </si>
  <si>
    <t>SEGAR S.A.M.I y C</t>
  </si>
  <si>
    <t>FERRERE E HIJOS SRL</t>
  </si>
  <si>
    <t>OPS S.A.C.I</t>
  </si>
  <si>
    <t>ERM ARGENTINA S.A.</t>
  </si>
  <si>
    <t>SMITH INTERNATIONAL INC S.A.</t>
  </si>
  <si>
    <t>THALES SRL</t>
  </si>
  <si>
    <t>CENTRAL TERMICA ROCA S.A.</t>
  </si>
  <si>
    <t>HERSO S.A.</t>
  </si>
  <si>
    <t>SOENERGY S.A</t>
  </si>
  <si>
    <t>BUFFALO SERVICIOS</t>
  </si>
  <si>
    <t>JORGE SEBASTIAN PAEZ</t>
  </si>
  <si>
    <t>CONTENEDORES MORANDI SRL</t>
  </si>
  <si>
    <t>CARRAHA CLAUDIO ARIEL</t>
  </si>
  <si>
    <t>NALCO ARGENTINA SRL</t>
  </si>
  <si>
    <t>PETROQUIMICA COMODORO RIVADAVIA S.A.</t>
  </si>
  <si>
    <t>LA CAMPAGNOLA SACI</t>
  </si>
  <si>
    <t>TRANSPORTE FERRA S.A.</t>
  </si>
  <si>
    <t>CALFRAC WELL SERVICES ARGENTINA S.A.</t>
  </si>
  <si>
    <t>PETROLIFERA PETROLEUM (AMERICAS) LIMITED SUC. ARG</t>
  </si>
  <si>
    <t>COMISION NACIONAL DE ENERGIA ATOMICA</t>
  </si>
  <si>
    <t>CIATI A.C.</t>
  </si>
  <si>
    <t>QUIMIGUAY S.A.</t>
  </si>
  <si>
    <t>SERPA</t>
  </si>
  <si>
    <t>SAN DIEGO S.R.L</t>
  </si>
  <si>
    <t>DEINOS S.R.L.</t>
  </si>
  <si>
    <t>CONSTRUMIN S.R.L</t>
  </si>
  <si>
    <t>BALLOTAGE SRL</t>
  </si>
  <si>
    <t>COMISION NACIONAL DE ENERGIA (CNEA)</t>
  </si>
  <si>
    <t>EZEQUIEL WALTER SILVA</t>
  </si>
  <si>
    <t>EZEQUIEL WALTER SILVA (EWS)</t>
  </si>
  <si>
    <t>CLEAN WORLD RL</t>
  </si>
  <si>
    <t>GEOTE</t>
  </si>
  <si>
    <t>TRANSPETRONE S.A</t>
  </si>
  <si>
    <t>E.S. LA PLAZA S.A.</t>
  </si>
  <si>
    <t>GRUPO FERNANDEZ S.R.L.</t>
  </si>
  <si>
    <t>E.S. LA PLAZA   AV. LA PLATA 14 GRAL. R.</t>
  </si>
  <si>
    <t>E.S. LA PLAZA   AV. ROCA 31 GRAL. R.</t>
  </si>
  <si>
    <t>E.S. LA PLAZA AV. RIVADAVIA 57 VILLA REGI</t>
  </si>
  <si>
    <t>PLANOBRA S.A.</t>
  </si>
  <si>
    <t>TP OIL AND SERVICES S.A.</t>
  </si>
  <si>
    <t>OTAMENDI Y CIA SRL</t>
  </si>
  <si>
    <t>CERVECERIA Y MALTERIA QUILMES S.A.I.C.A. Y G.</t>
  </si>
  <si>
    <t>E.S. REFI PAMPA</t>
  </si>
  <si>
    <t>ENVIROCONTROL S.A.</t>
  </si>
  <si>
    <t>INDUSLAB SRL</t>
  </si>
  <si>
    <t>EDUARDO EVANGELISTA - SHELL</t>
  </si>
  <si>
    <t>TECPETROL S.A.</t>
  </si>
  <si>
    <t>DIR. NACIONAL DE VIALIDAD DISTRIT 20° RN</t>
  </si>
  <si>
    <t>COMPAÑÍA MEGA S.A.</t>
  </si>
  <si>
    <t>WALMART ARGENTINA SRL</t>
  </si>
  <si>
    <t>PRODUEXPORT S.A.</t>
  </si>
  <si>
    <t>E.S. OPESSA-OPERADORA  ESTACIONES  SERVICIO</t>
  </si>
  <si>
    <t>E.S. VILLARREAL OSVALDO Y AURORA S.H.</t>
  </si>
  <si>
    <t>CHITCHIAN S.A. SIGLO XXI</t>
  </si>
  <si>
    <t>CHITCHIAN S.A. MELIPAL</t>
  </si>
  <si>
    <t>E.S. TECNO VALLE SRL</t>
  </si>
  <si>
    <t>E.S. GUSTAVO JULIAN Y MIGUEL ANGEL ZUAIN S.H</t>
  </si>
  <si>
    <t>LUCIANO S.A.</t>
  </si>
  <si>
    <t>SUCESIÓN ARUANNO TAUL ENRRIQUE Y SALERNO ENRRIQUE</t>
  </si>
  <si>
    <t>E.S. LA PICASA</t>
  </si>
  <si>
    <t>E.S. LA PICASA S.A. (CIPOLLETTI)</t>
  </si>
  <si>
    <t>E.S.GLOBAL OIL SRL</t>
  </si>
  <si>
    <t>E.S. SUCESIÓN ARUANNO RAUL Y SALERNO ENRRIQUE</t>
  </si>
  <si>
    <t>E.S. FIDANZA HERMANOS SH</t>
  </si>
  <si>
    <t>EDHIPSA</t>
  </si>
  <si>
    <t>AXION ENERGY SOLUCIONES ARGENTINA S.A.</t>
  </si>
  <si>
    <t>CATEDRAL ALTA PATAGONIA S.A.</t>
  </si>
  <si>
    <t>PETROLERA SAN ANDRES SRL</t>
  </si>
  <si>
    <t>TAYM S.A.</t>
  </si>
  <si>
    <t>EL REENCUENTRO SRL</t>
  </si>
  <si>
    <t>SAOCOMB S.A</t>
  </si>
  <si>
    <t>TREG</t>
  </si>
  <si>
    <t>TBQ S.A.</t>
  </si>
  <si>
    <t>DI LUCA EXCAVACIONES SRL</t>
  </si>
  <si>
    <t>SL GROUP REPRESENTACIONES Y SERVICIOS SRL</t>
  </si>
  <si>
    <t>A - EVANGELISTA S.A</t>
  </si>
  <si>
    <t>MUNICIPALIDAD DE SAN ANTONIO OESTE</t>
  </si>
  <si>
    <t>FERNANDEZ EDGARDO ALEJANDRO</t>
  </si>
  <si>
    <t>CPC S.A CN SAPAG S.A.C.C.F.I.I y E UTE</t>
  </si>
  <si>
    <t>PEIRANO HERMANOS</t>
  </si>
  <si>
    <t>HALLIBURTON ARGENTINA S.R.L</t>
  </si>
  <si>
    <t>ATLANTICO AZUL S.A</t>
  </si>
  <si>
    <t>AMULEM S.A.</t>
  </si>
  <si>
    <t>LA ROTONDA S.R.L.</t>
  </si>
  <si>
    <t>YPF S.A.  AEROPLANTAS</t>
  </si>
  <si>
    <t>PETROLEOS Y SERVICIOS S.A</t>
  </si>
  <si>
    <t>PETROBRAS AILVEIRO GONZALEZ</t>
  </si>
  <si>
    <t>E.S. ROYAL ENERGY S.A.</t>
  </si>
  <si>
    <t>EL FORTIN CONSTRUCCIONES S.R.L.</t>
  </si>
  <si>
    <t>LIHUEN S.A.</t>
  </si>
  <si>
    <t>NORDEX WINDPOWER S.A.</t>
  </si>
  <si>
    <t>EDITORIAL RIO NEGRO S.A</t>
  </si>
  <si>
    <t>TOMAKO S.R.L.</t>
  </si>
  <si>
    <t>EQUIMAC S.A.C.I.F. e I.</t>
  </si>
  <si>
    <t>ISOTRON S.A.</t>
  </si>
  <si>
    <t>EMPRESA DE TRANSPORTE DE PASAJEROS KOKO SRL</t>
  </si>
  <si>
    <t>FERREYRA CONSTRUCTORA VIAL S.A.</t>
  </si>
  <si>
    <t>NS AUSTRAL S.R.L.</t>
  </si>
  <si>
    <t>LABORATORIO REGIONAL DE TOXICOLOGIA FORENSE</t>
  </si>
  <si>
    <t>PAREX KLAUKOL S.A.</t>
  </si>
  <si>
    <t>Transbiaga S.A.</t>
  </si>
  <si>
    <t>LOWIND S.R.L</t>
  </si>
  <si>
    <t>COAMTRA S.A</t>
  </si>
  <si>
    <t>GPA CONSULTORIA AMBIENTAL SA</t>
  </si>
  <si>
    <t>JULIAN MARCELO LAVAYEN</t>
  </si>
  <si>
    <t>UNIVERSIDAD NACIONAL DE RIO NEGRO</t>
  </si>
  <si>
    <t>MINISTERIO DE SALUD RIO NEGRO</t>
  </si>
  <si>
    <t>GUZMAN HUMBERTO GABRIEL</t>
  </si>
  <si>
    <t>18 DE MAYO S.R.L.</t>
  </si>
  <si>
    <t>7 DE AGOSTO S.R.L.</t>
  </si>
  <si>
    <t>A. SILVETTI Y CIA. S.R.L.</t>
  </si>
  <si>
    <t>A-EVANGELISTA S.A.</t>
  </si>
  <si>
    <t>ALBUS S.R.L.</t>
  </si>
  <si>
    <t>ALCALIS DE LA PATAGONIA SAIC</t>
  </si>
  <si>
    <t>AMBROSETTO SANDRA RAQUEL</t>
  </si>
  <si>
    <t>AMULLEM S.A.</t>
  </si>
  <si>
    <t>ARUANNO-SALERNO-CRISTOFORATO S.H.</t>
  </si>
  <si>
    <t>ATLANTICO AZUL S.A.</t>
  </si>
  <si>
    <t>ATLANTICO S.R.L.</t>
  </si>
  <si>
    <t>ACA EL BOLSÓN</t>
  </si>
  <si>
    <t>ACA SIERRA GRANDE</t>
  </si>
  <si>
    <t>ACA LOS MENUCOS</t>
  </si>
  <si>
    <t>ACA VILLA MASCARDI</t>
  </si>
  <si>
    <t>ACA CIPOLLETTI</t>
  </si>
  <si>
    <t>ACA CHOELE CHOEL</t>
  </si>
  <si>
    <t>ACA VIEDMA</t>
  </si>
  <si>
    <t>BASE MELIPAL S.R.L.</t>
  </si>
  <si>
    <t>BELLINI BLAS JACINTO</t>
  </si>
  <si>
    <t>CHITCHIAN S.A.</t>
  </si>
  <si>
    <t>CLAUDIO MARCELO PIERROT</t>
  </si>
  <si>
    <t>COGNIGNI JORGE HUGO CARLOS</t>
  </si>
  <si>
    <t>COHUE S.R.L.</t>
  </si>
  <si>
    <t>COMPAÑÍA TSB S.A</t>
  </si>
  <si>
    <t>CRUCERO DEL NORTE S.R.L.</t>
  </si>
  <si>
    <t>DE BONA GIACOMA</t>
  </si>
  <si>
    <t>DIAZ SONIA VIVIANA</t>
  </si>
  <si>
    <t>DIRECCION DE VIALIDAD RIONEGRINA</t>
  </si>
  <si>
    <t>DIRECCION NACIONAL DE VIALIDAD</t>
  </si>
  <si>
    <t>DISTRIBUIDORA EL FARO S.A.</t>
  </si>
  <si>
    <t>DISTRIBUIDORA PABLO S.A</t>
  </si>
  <si>
    <t>EDUARDO ROBERTO EVANGELISTA</t>
  </si>
  <si>
    <t>EMPRESA CEFERINO S.A.</t>
  </si>
  <si>
    <t>EMPRESA DE ENERGIA RIO NEGRO S.A.</t>
  </si>
  <si>
    <t>EMPRESA DE TRANSPORTE DE PASAJEROS KO KO S.R.L.</t>
  </si>
  <si>
    <t>EMPRESA KO KO S.R.L.</t>
  </si>
  <si>
    <t>EQUIMAC S.A.C.I.F. E I.</t>
  </si>
  <si>
    <t>ESTABLECIMIENTO HUMBERTO CANALE S.A.</t>
  </si>
  <si>
    <t>ESTACION Y P F CENTRO CONESA S.R.L.</t>
  </si>
  <si>
    <t>FIDANZA HNOS. DE FIDANZA RAFAEL ANDRES Y OTROS</t>
  </si>
  <si>
    <t>FULL GNC SRL</t>
  </si>
  <si>
    <t>GEN S.R.L</t>
  </si>
  <si>
    <t>GLOBAL OIL S.R.L.</t>
  </si>
  <si>
    <t>GNC BARILOCHE S.A.</t>
  </si>
  <si>
    <t>GNC NAHUEL SRL</t>
  </si>
  <si>
    <t>GO ENERGY ROCA S.R.L.</t>
  </si>
  <si>
    <t>GOBIERNO DE LA PROVINCIA DE RIO NEGRO (MODULO DE ABASTECIMIENTO SOCIAL)</t>
  </si>
  <si>
    <t>GONZALEZ SILVERIO</t>
  </si>
  <si>
    <t>GONZALEZ TARABELLI SRL</t>
  </si>
  <si>
    <t>GUSTAVO JULIAN Y MIGUEL ANGEL ZUAIN</t>
  </si>
  <si>
    <t>HEBERTO J. MUÑECAS S.A.</t>
  </si>
  <si>
    <t>HECTOR ARMANDO DI CLERICO</t>
  </si>
  <si>
    <t>HIDRACO S.A.</t>
  </si>
  <si>
    <t>JALIL JUAN MANZUR</t>
  </si>
  <si>
    <t>JORGE COGNINI</t>
  </si>
  <si>
    <t>JORGE PIRRI Y CIA. S.R.L.</t>
  </si>
  <si>
    <t>JULIO CESAR SANGIULIANO</t>
  </si>
  <si>
    <t>LA 251 S.R.L.</t>
  </si>
  <si>
    <t>LA COLONIA S.A.</t>
  </si>
  <si>
    <t>LA PETRO S.R.L.</t>
  </si>
  <si>
    <t>LA PICASA S.A.</t>
  </si>
  <si>
    <t>LA PLAZA S.A.</t>
  </si>
  <si>
    <t>LA ROTONDA S.A.</t>
  </si>
  <si>
    <t>LAS GRUTAS S.A.</t>
  </si>
  <si>
    <t>LONDON SUPPLY SACIFI</t>
  </si>
  <si>
    <t>LOS ABEDULES S.A.</t>
  </si>
  <si>
    <t>MARIA MARTA STUKENBERG</t>
  </si>
  <si>
    <t>MATIAS CALVO S.A.C.I.</t>
  </si>
  <si>
    <t>MCC MINERA SIERRA GRANDE S. A.</t>
  </si>
  <si>
    <t>MIELE S.A.</t>
  </si>
  <si>
    <t>MIGUEL A PIÑEYRO E HIJOS S.R.L.</t>
  </si>
  <si>
    <t>MORAN D., MORAN J.C. Y MORAN E. S.H.</t>
  </si>
  <si>
    <t>MULTISERVICIOS STEFENELLI S.A.</t>
  </si>
  <si>
    <t>MUNICIPALIDAD DE COMALLO</t>
  </si>
  <si>
    <t>NORBERTO FERNANDO PIZZUTI</t>
  </si>
  <si>
    <t>NUEVO MADERO S.R.L.</t>
  </si>
  <si>
    <t>OLDELVAL S.A.</t>
  </si>
  <si>
    <t>OPERADORES BYC S.R.L.</t>
  </si>
  <si>
    <t>OPESSA</t>
  </si>
  <si>
    <t>ORESTE DOMINGO BENEDETTE</t>
  </si>
  <si>
    <t>OSVALDO ALBANO VILLARREAL E HIJOS SA</t>
  </si>
  <si>
    <t>P. TORTORIELLO Y CIA. SRL</t>
  </si>
  <si>
    <t>PAMISA SRL</t>
  </si>
  <si>
    <t>PATAGONIA ARGENTINA SOCIEDAD MUTUAL</t>
  </si>
  <si>
    <t>PETROGAS SANTA ROSA S.R.L.</t>
  </si>
  <si>
    <t>PETROLEO &amp; SERVICIOS S.A.</t>
  </si>
  <si>
    <t>PETROLERA SAN AGUSTIN S.A.</t>
  </si>
  <si>
    <t>PETROLERA SAN ANDRES S.R.L.</t>
  </si>
  <si>
    <t>PETROPAMPA S.R.L.</t>
  </si>
  <si>
    <t>PETROSUR S.R.L.</t>
  </si>
  <si>
    <t>PIRRI HNOS. S.R.L.</t>
  </si>
  <si>
    <t>POLLOLIN S.A.</t>
  </si>
  <si>
    <t>REFI PAMPA S.A.</t>
  </si>
  <si>
    <t>RIO NEGRO COMBUSTIBLES S.R.L.</t>
  </si>
  <si>
    <t>RIO SALADO S.R.L.</t>
  </si>
  <si>
    <t>ROCCA SUR S.R.L.</t>
  </si>
  <si>
    <t>ROYAL ENERGY S.A.</t>
  </si>
  <si>
    <t>S A O COMB S.A.</t>
  </si>
  <si>
    <t>SALERNO ENRIQUE Y CRISTOFORATO HORACIO SOC. HECHO</t>
  </si>
  <si>
    <t>SERVICENTRO EL BEBE S.R.L.</t>
  </si>
  <si>
    <t>SERVICIOS CIPOLLETTI S.R.L.</t>
  </si>
  <si>
    <t>SINDICATO DE CHOFERES DE CAMIONES OBREROS Y EMPLEADOS DEL TTE. AUT. DE CARGAS GRALES DE RIO NEGRO</t>
  </si>
  <si>
    <t>SOENERGY ARGENTINA S.A.</t>
  </si>
  <si>
    <t>SUC. DE DULSAN JUAN CARLOS</t>
  </si>
  <si>
    <t>TECNOVALLE S.R.L.</t>
  </si>
  <si>
    <t>TOMAKO SRL</t>
  </si>
  <si>
    <t>TORTORIELLO HNOS. S.R.L.</t>
  </si>
  <si>
    <t>TRANSPORTE AMANCAY S.R.L.</t>
  </si>
  <si>
    <t>TRANSPORTE COMAHUE S.H.</t>
  </si>
  <si>
    <t>TRANSPORTES DON OTTO S.A.</t>
  </si>
  <si>
    <t>TRANSPORTES LAFFONT S.R.L.</t>
  </si>
  <si>
    <t>TREMEN SRL</t>
  </si>
  <si>
    <t>TREN PATAGONICO S.A.</t>
  </si>
  <si>
    <t>VALLE FULL SRL</t>
  </si>
  <si>
    <t>VENTURA ANTONIO</t>
  </si>
  <si>
    <t>VIA BARILOCHE SRL</t>
  </si>
  <si>
    <t>VIAL AGRO S.A.</t>
  </si>
  <si>
    <t>VIAL AGRO SA-CN SAPAG SACCFII Y E-RN22SII-UTE</t>
  </si>
  <si>
    <t>VILLAVERDE MARIO WALTER</t>
  </si>
  <si>
    <t>VISTA OIL &amp; GAS ARGENTINA S.A.U.</t>
  </si>
  <si>
    <t>YACIMIENTO ENTRE LOMAS S.A.</t>
  </si>
  <si>
    <t>ZGAIB DANIEL OSCAR</t>
  </si>
  <si>
    <t>PETRO HUERGO S.R.L.</t>
  </si>
  <si>
    <t>ELISEI HNOS S.A.</t>
  </si>
  <si>
    <t>Treater Neuquén S.A.</t>
  </si>
  <si>
    <t>Petrolera Aconcagua Energía S.A.</t>
  </si>
  <si>
    <t>IMEXTRADE S.A.</t>
  </si>
  <si>
    <t>CREXELL SOLUCIONES AMBIENTALES S.A.</t>
  </si>
  <si>
    <t>PROSOPIS S.R.L.</t>
  </si>
  <si>
    <t>INGENIERÍA SIMA S.A.</t>
  </si>
  <si>
    <t>ENERGICON S.A.</t>
  </si>
  <si>
    <t>ECOPOLO ARGENTINA S.A.</t>
  </si>
  <si>
    <t>BIOPROCESS S.R.L.</t>
  </si>
  <si>
    <t>Helmerich &amp; Payne Drilling Co.</t>
  </si>
  <si>
    <t>DELTAP S.A.</t>
  </si>
  <si>
    <t>O&amp;G DEVELOPMENTS LTD S.A.</t>
  </si>
  <si>
    <t>MADALENA PETROLEUM (AMERICAS) LTD. (SUCURSAL ARGEN</t>
  </si>
  <si>
    <t>PLUSPETROL S.A.</t>
  </si>
  <si>
    <t>CAPEX S.A.</t>
  </si>
  <si>
    <t>KILWER S.A.</t>
  </si>
  <si>
    <t>PRESIDENT PETROLEUM S.A.</t>
  </si>
  <si>
    <t>Petrolera del Comahue S.A.</t>
  </si>
  <si>
    <t>Vista Oil &amp; Gas Argentina S.A.U.</t>
  </si>
  <si>
    <t>Compañía General de Combustibles S.A.</t>
  </si>
  <si>
    <t>Petrolera Entre Lomas S.A.</t>
  </si>
  <si>
    <t>YSUR Energía Argentina S.R.L.</t>
  </si>
  <si>
    <t>Petrobras Argentina S.A.</t>
  </si>
  <si>
    <t>Pampa Energía S.A.</t>
  </si>
  <si>
    <t>Central International Corporation Suc. Arg.</t>
  </si>
  <si>
    <t>Chevron Argentina S.R.L.</t>
  </si>
  <si>
    <t>AMERICAS PETROGRAS ARGENTINA S.A.</t>
  </si>
  <si>
    <t>UTE PCR S.A. - PAMPETROL SAPEM</t>
  </si>
  <si>
    <t>ALCALIS DE LA PATAGONIA S.A.I.C.</t>
  </si>
  <si>
    <t>ALIBERTI, LUIS</t>
  </si>
  <si>
    <t>ALLEN AUTO MOTO CLUB</t>
  </si>
  <si>
    <t>ALVAREZ ALBERTO PEDRO</t>
  </si>
  <si>
    <t>ARANGUEZ, MIGUEL ENRIQUE</t>
  </si>
  <si>
    <t>ARENERA ALLEN S.R.L</t>
  </si>
  <si>
    <t>ARENERA DON PEDRO</t>
  </si>
  <si>
    <t>ARIDEROS S.R.L.</t>
  </si>
  <si>
    <t>AVENDAÑO, JOSÉ SILVERIO</t>
  </si>
  <si>
    <t>AVENDAÑO, Juana Leonor y otros</t>
  </si>
  <si>
    <t>BARASCHI DEREK FABIAN</t>
  </si>
  <si>
    <t>BIOTEC ARGENTINA S.R.L.</t>
  </si>
  <si>
    <t>BOLATTI RAUL OMAR</t>
  </si>
  <si>
    <t>BONVENTRE, NATALIO</t>
  </si>
  <si>
    <t>BOWEN RAUL</t>
  </si>
  <si>
    <t>BRAVO JOSE</t>
  </si>
  <si>
    <t>BRUSSINO JUAN CARLOS RAIMUNDO</t>
  </si>
  <si>
    <t>BUSTOS, Ricardo Marcelo</t>
  </si>
  <si>
    <t>CANTERA BG S.R.L. (Claudio N. Guerriero)</t>
  </si>
  <si>
    <t>CARDENAS, JONATHAN EZEQUIAL</t>
  </si>
  <si>
    <t>CASTIGLIONE PES Y CIA. S.A.</t>
  </si>
  <si>
    <t>CASTRILLO, Fructuoso</t>
  </si>
  <si>
    <t>CAVASIN, ALEJANDRO CARLOS</t>
  </si>
  <si>
    <t>CERDA ANIBAL RICARDO</t>
  </si>
  <si>
    <t>CODISTEL S.A.</t>
  </si>
  <si>
    <t>COLOS, Adolfo Anselmo</t>
  </si>
  <si>
    <t>CRESPO, OSCAR ÁNGEL</t>
  </si>
  <si>
    <t>DÍAZ, Rubén Omar</t>
  </si>
  <si>
    <t>DURLOCK S.A</t>
  </si>
  <si>
    <t>Ecomin SRL</t>
  </si>
  <si>
    <t>EMPRESA CONSTRUCTORA ROQUE MOCCIOLA S.A.</t>
  </si>
  <si>
    <t>ESPINOSA, SANTIAGO</t>
  </si>
  <si>
    <t>ESTEVANACIO VICTORIO ADAN</t>
  </si>
  <si>
    <t>ESTÉVEZ ANTONIO</t>
  </si>
  <si>
    <t>FERNÁNDEZ ANSOLA, CRISTÓBAL ELÍAS</t>
  </si>
  <si>
    <t>Forestadora del Limay</t>
  </si>
  <si>
    <t>GACITUA ISLA, LORENA</t>
  </si>
  <si>
    <t>GARCIA FRANCISCO RAFAEL</t>
  </si>
  <si>
    <t>GIARRAFFA, JUAN RAMÓN</t>
  </si>
  <si>
    <t>GOMEZ HUGO</t>
  </si>
  <si>
    <t>GONZALEZ RAFAEL TEODORO</t>
  </si>
  <si>
    <t>GUZMÁM, Humberto</t>
  </si>
  <si>
    <t>HOMSE, Arturo</t>
  </si>
  <si>
    <t>HORMIGONERA DEL INTERIOR S.R.L.</t>
  </si>
  <si>
    <t>IARIA REGINA YOLANDA</t>
  </si>
  <si>
    <t>IMPICCINI HERCULES</t>
  </si>
  <si>
    <t>KNORZ ANTONIO MIGUEL</t>
  </si>
  <si>
    <t>KRAL, Juan Pedro</t>
  </si>
  <si>
    <t>KRAL, VICTORIANO</t>
  </si>
  <si>
    <t>LAGUNA PLAYA S.R.L.</t>
  </si>
  <si>
    <t>LENCINA ALDO VICENTE</t>
  </si>
  <si>
    <t>LONGO, HÉCTOR MODESTO</t>
  </si>
  <si>
    <t>LORENZO, EDUARDO JAVIER</t>
  </si>
  <si>
    <t>MANQUELEF, ROBERTO</t>
  </si>
  <si>
    <t>MARILLAN VICTORINO</t>
  </si>
  <si>
    <t>MASLOWSKI, JUAN</t>
  </si>
  <si>
    <t>MCC MINERA SIERRA GRANDE S.A.</t>
  </si>
  <si>
    <t>MEDELE, Enrique Roberto</t>
  </si>
  <si>
    <t>MÉNDEZ, Antonio Segundo</t>
  </si>
  <si>
    <t>MIGUEL, JUAN RAMÓN</t>
  </si>
  <si>
    <t>MINERA COMIRNA S.R.L.</t>
  </si>
  <si>
    <t>MINERA J.C PIERUCCI E HIJOS S.R.L.</t>
  </si>
  <si>
    <t>MINERA JOSE CHOLINO E HIJOS S.R.L</t>
  </si>
  <si>
    <t>MINERALES DEL SUR S.A.</t>
  </si>
  <si>
    <t>MINERALES PATAGONICOS S.A.</t>
  </si>
  <si>
    <t>MORAIS ÁNGEL MIGUEL</t>
  </si>
  <si>
    <t>MUNICIPALIDAD DE CINCO SALTOS</t>
  </si>
  <si>
    <t>MUNICIPALIDAD DE GENERAL ROCA</t>
  </si>
  <si>
    <t>MUNICIPALIDAD DE SAN CARLOS DE BARILOCHE</t>
  </si>
  <si>
    <t>MUÑOZ ANDRES LORENZO</t>
  </si>
  <si>
    <t>NCC CONSTRUCCIONES S.A.</t>
  </si>
  <si>
    <t>ÑANCULEO, CARLOS MARIANO</t>
  </si>
  <si>
    <t>ÑANCULEO, Patricia Adela</t>
  </si>
  <si>
    <t>OZAN JOSE CALAZANZ</t>
  </si>
  <si>
    <t>PAGLIALUNGA, SUSANA NORMA</t>
  </si>
  <si>
    <t>PATAGONIA MINERALES S.R.L.</t>
  </si>
  <si>
    <t>PATAGONIA STONE S.R.L.</t>
  </si>
  <si>
    <t>PIÑEYRO HNOS. S.R.L.</t>
  </si>
  <si>
    <t>PRATI OSCAR EDUARDO</t>
  </si>
  <si>
    <t>PROINSAL S.A.I.C.</t>
  </si>
  <si>
    <t>QUINCHAO ANTOLIN</t>
  </si>
  <si>
    <t>QUINTANA JUAN MANUEL</t>
  </si>
  <si>
    <t>QUINTANA JULIO CÉSAR</t>
  </si>
  <si>
    <t>RIO SERGIO GUSTAVO</t>
  </si>
  <si>
    <t>RODAN S.A.</t>
  </si>
  <si>
    <t>RODRIGUEZ JUAN DE DIOS</t>
  </si>
  <si>
    <t>ROMAN ANGEL GUMERCINDO - PALLAORO, NICOLA</t>
  </si>
  <si>
    <t>RUIZ DIAZ, MIGUEL ANGEL</t>
  </si>
  <si>
    <t>SEISPA S.A.</t>
  </si>
  <si>
    <t>SEPULVEDA MANUEL OMAR</t>
  </si>
  <si>
    <t>SOL MINERALES Y SERVICIOS S.A.</t>
  </si>
  <si>
    <t>SOLA, REINALDO</t>
  </si>
  <si>
    <t>SORBELLINI, EDUARDO CÉSAR</t>
  </si>
  <si>
    <t>SORIA, LUIS MIGUEL</t>
  </si>
  <si>
    <t>SOTO, RAÚL</t>
  </si>
  <si>
    <t>SUCESION ALBERTO DANILO ALANIS</t>
  </si>
  <si>
    <t>SUCESION de SOULE CANAU, MARTÍN</t>
  </si>
  <si>
    <t>SUCESION MARTIN AVENDAÑO</t>
  </si>
  <si>
    <t>TERUEL MARIA</t>
  </si>
  <si>
    <t>TIERRAS CALAMARA S.R.L.</t>
  </si>
  <si>
    <t>TILLERIA NESTOR ANTONIO</t>
  </si>
  <si>
    <t>UNIPAR INDUPA SAIC</t>
  </si>
  <si>
    <t>VASILCHIN GUSTAVO RODOLFO</t>
  </si>
  <si>
    <t>VILLAFAÑE ALBA SOLER</t>
  </si>
  <si>
    <t>YURCICH, JUAN CARLOS</t>
  </si>
  <si>
    <t>ZOPPI HNOS. S.A.C.E.I.</t>
  </si>
  <si>
    <t>CRISTAMINE S.A.</t>
  </si>
  <si>
    <t>TECNOMINERALES S.R.L.</t>
  </si>
  <si>
    <t>SCARFIELLO NESTOR ADRIAN</t>
  </si>
  <si>
    <t>VAGNONI NAZARENO GABRIEL</t>
  </si>
  <si>
    <t>CANTERAS CERRO NEGRO S.A.</t>
  </si>
  <si>
    <t>ECONAT S.A.</t>
  </si>
  <si>
    <t>ALUVIONAL LOGÍSTICA S.A.</t>
  </si>
  <si>
    <t>Metalúrgica Alto Valle S.A.</t>
  </si>
  <si>
    <t>EXPOFRUT ARGENTINA S.A.</t>
  </si>
  <si>
    <t>Packey S.A.</t>
  </si>
  <si>
    <t>Standard Fruit Argentina S.A.</t>
  </si>
  <si>
    <t>Dole Patagonia S.A.</t>
  </si>
  <si>
    <t>Droguería del Sud S.A.</t>
  </si>
  <si>
    <t>Wal-Mart Argentina S.R.L.</t>
  </si>
  <si>
    <t>CIMSA S.R.L.</t>
  </si>
  <si>
    <t>El Fortín Construcciones S.R.L.</t>
  </si>
  <si>
    <t>EQUIMAC S.A.C.I.F.E.I.</t>
  </si>
  <si>
    <t>IDUN Agroenergía S.A.</t>
  </si>
  <si>
    <t>Sáenz Briones y Cía. S.A.</t>
  </si>
  <si>
    <t>EVARSA S.R.L.</t>
  </si>
  <si>
    <t>Confluencia Fénix S.R.L.</t>
  </si>
  <si>
    <t>ATIS GROUP S.A.</t>
  </si>
  <si>
    <t>TECNITERRA S.A.C.I.A.</t>
  </si>
  <si>
    <t>CHIMEN AIKE S.A.</t>
  </si>
  <si>
    <t>LEIMAT S.A.</t>
  </si>
  <si>
    <t>CELULOSA ALTO VALLE S.A.</t>
  </si>
  <si>
    <t>CHOCON RENOVABLES S.A.</t>
  </si>
  <si>
    <t>TECNOAGRO S.R.L.</t>
  </si>
  <si>
    <t>Sysar Logistics S.A.</t>
  </si>
  <si>
    <t>LP S.R.L.</t>
  </si>
  <si>
    <t>FERROSUR ROCA S.A.</t>
  </si>
  <si>
    <t>JOACHIM PODLESCH S.R.L.</t>
  </si>
  <si>
    <t>FEBEL S.R.L.</t>
  </si>
  <si>
    <t>Granjeros del Valle S.R.L.</t>
  </si>
  <si>
    <t>FRUTICOLA MARTINEZ HNOS. S.A</t>
  </si>
  <si>
    <t>KARPA S.A.</t>
  </si>
  <si>
    <t>GTC GROUP S.R.L.</t>
  </si>
  <si>
    <t>GREENCOR S.A.</t>
  </si>
  <si>
    <t>COOPERATIVA FRUTIORO LIMITADA</t>
  </si>
  <si>
    <t>CARONTIS S.A.</t>
  </si>
  <si>
    <t>SOMARUGA AGRO S.A.</t>
  </si>
  <si>
    <t>ENRIQUE V SQUARTINI Y CIA S.R.L.</t>
  </si>
  <si>
    <t>OVINTO S.A.</t>
  </si>
  <si>
    <t>LA ASTURIANA S.A.I.C.</t>
  </si>
  <si>
    <t>NATURAL JUICE S.A.</t>
  </si>
  <si>
    <t>JUGOS S.A.</t>
  </si>
  <si>
    <t>PEQUEÑA DESTILERÍA ARGENTINA S.A.</t>
  </si>
  <si>
    <t>CARNES RIONEGRINAS S.R.L.</t>
  </si>
  <si>
    <t>Municipalidad de Bariloche</t>
  </si>
  <si>
    <t>Municipalidad de El Bolsón</t>
  </si>
  <si>
    <t>Municipalidad de Dina Huapi</t>
  </si>
  <si>
    <t>Municipalidad de Pilcaniyeu</t>
  </si>
  <si>
    <t>Municipalidad de San Antonio Oeste</t>
  </si>
  <si>
    <t>Municipalidad de Sierra Grande</t>
  </si>
  <si>
    <t>Municipalidad de Viedma</t>
  </si>
  <si>
    <t>Municipalidad de Coronel Belisle</t>
  </si>
  <si>
    <t>Municipalidad de Luis Beltrán</t>
  </si>
  <si>
    <t>Municipalidad de Chimpay</t>
  </si>
  <si>
    <t>Municipalidad de Choele Choel</t>
  </si>
  <si>
    <t>Municipalidad de Gral. Conesa</t>
  </si>
  <si>
    <t>Municipalidad de Darwin</t>
  </si>
  <si>
    <t>Municipalidad de Guardia Mitre</t>
  </si>
  <si>
    <t>Municipalidad de Lamarque</t>
  </si>
  <si>
    <t>Municipalidad de Pomona</t>
  </si>
  <si>
    <t>Municipalidad de Río Colorado</t>
  </si>
  <si>
    <t>Municipalidad de Chichinales</t>
  </si>
  <si>
    <t>Municipalidad de Gral. Godoy</t>
  </si>
  <si>
    <t>Municipalidad de Ingeniero Huergo</t>
  </si>
  <si>
    <t>Municipalidad de Mainqué</t>
  </si>
  <si>
    <t>Municipalidad de Villa Regina</t>
  </si>
  <si>
    <t>Municipalidad de Allen</t>
  </si>
  <si>
    <t>Municipalidad de Gral. Roca</t>
  </si>
  <si>
    <t>Municipalidad de Campo Grande</t>
  </si>
  <si>
    <t>Municipalidad de Catriel</t>
  </si>
  <si>
    <t>Municipalidad de Cinco Saltos</t>
  </si>
  <si>
    <t>Municipalidad de Contralmirante Cordero</t>
  </si>
  <si>
    <t>Municipalidad de Gral. Fernández Oro</t>
  </si>
  <si>
    <t>Municipalidad de Comallo</t>
  </si>
  <si>
    <t>Municipalidad de Ing. Jacobacci</t>
  </si>
  <si>
    <t>Municipalidad de Maquinchao</t>
  </si>
  <si>
    <t>Municipalidad de Los Menucos</t>
  </si>
  <si>
    <t>Municipalidad de Ñorquinco</t>
  </si>
  <si>
    <t>Municipalidad de Ramos Mexía</t>
  </si>
  <si>
    <t>Municipalidad de Sierra Colorada</t>
  </si>
  <si>
    <t>RAZÓN SOCIAL</t>
  </si>
  <si>
    <t>CUIT</t>
  </si>
  <si>
    <t>Domicilio (Calle y N°)</t>
  </si>
  <si>
    <t>Localidad</t>
  </si>
  <si>
    <t>Nomenclatura Catastral</t>
  </si>
  <si>
    <t>N° de habilitación municipal</t>
  </si>
  <si>
    <t>Coordenadas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</si>
  <si>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</si>
  <si>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</si>
  <si>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</si>
  <si>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</si>
  <si>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</si>
  <si>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</si>
  <si>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</si>
  <si>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</si>
  <si>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</si>
  <si>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</si>
  <si>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</si>
  <si>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</si>
  <si>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</si>
  <si>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</si>
  <si>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</si>
  <si>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</si>
  <si>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 xml:space="preserve">*Categorizaciones de acuerdo al Anexo III y V de la Ley Provincial M N° 3.250. </t>
  </si>
  <si>
    <t>** Utilice un renglón por cada categoría de Residuo Especial generada en el Punto de generación.</t>
  </si>
  <si>
    <t>Tipo de residuo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</si>
</sst>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Arial"/>
    </font>
    <font>
      <sz val="12"/>
      <color theme="1"/>
      <name val="Roboto"/>
    </font>
    <font>
      <sz val="11"/>
      <color theme="1"/>
      <name val="Roboto"/>
    </font>
    <font>
      <sz val="11"/>
      <color theme="1"/>
      <name val="Roboto"/>
    </font>
    <font>
      <sz val="11"/>
      <color rgb="FF000000"/>
      <name val="Roboto"/>
    </font>
    <font>
      <sz val="14"/>
      <color rgb="FF434343"/>
      <name val="Roboto"/>
    </font>
    <font>
      <b/>
      <sz val="16"/>
      <color rgb="FF434343"/>
      <name val="Roboto"/>
    </font>
    <font>
      <b/>
      <sz val="18"/>
      <color rgb="FFFFFFFF"/>
      <name val="Roboto"/>
    </font>
    <font>
      <b/>
      <sz val="11"/>
      <color rgb="FFFFFFFF"/>
      <name val="Roboto"/>
    </font>
    <font>
      <b/>
      <sz val="18"/>
      <color rgb="FF434343"/>
      <name val="Roboto"/>
    </font>
    <font>
      <sz val="11"/>
      <color rgb="FF434343"/>
      <name val="Roboto"/>
    </font>
    <font>
      <sz val="11"/>
      <color rgb="FFFFFFFF"/>
      <name val="Roboto"/>
    </font>
    <font>
      <i/>
      <sz val="11"/>
      <color rgb="FF434343"/>
      <name val="Roboto"/>
    </font>
    <font>
      <sz val="24"/>
      <color rgb="FFFFFFFF"/>
      <name val="Roboto"/>
    </font>
    <font>
      <sz val="10"/>
      <color rgb="FF434343"/>
      <name val="Roboto"/>
    </font>
    <font>
      <b/>
      <sz val="10"/>
      <color rgb="FF434343"/>
      <name val="Roboto"/>
    </font>
    <font>
      <sz val="11"/>
      <color theme="1"/>
      <name val="Calibri"/>
    </font>
    <font>
      <sz val="10"/>
      <color rgb="FF000000"/>
      <name val="Roboto"/>
    </font>
    <font>
      <sz val="10"/>
      <color rgb="FFFFFFFF"/>
      <name val="Roboto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  <font>
      <b/>
      <sz val="10"/>
      <color rgb="FFFFFFFF"/>
      <name val="Roboto"/>
    </font>
    <font>
      <b/>
      <sz val="11"/>
      <color rgb="FF434343"/>
      <name val="Roboto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434343"/>
        <bgColor rgb="FF434343"/>
      </patternFill>
    </fill>
    <fill>
      <patternFill patternType="solid">
        <fgColor rgb="FF92D050"/>
        <bgColor rgb="FF3FC8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rgb="FFFFFFFF"/>
      </left>
      <right/>
      <top/>
      <bottom style="thin">
        <color rgb="FFEFEFEF"/>
      </bottom>
      <diagonal/>
    </border>
    <border>
      <left style="thin">
        <color theme="0"/>
      </left>
      <right style="thin">
        <color rgb="FFFFFFFF"/>
      </right>
      <top/>
      <bottom style="thin">
        <color rgb="FFEFEFEF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4" borderId="2" xfId="0" applyFont="1" applyFill="1" applyBorder="1" applyAlignment="1">
      <alignment vertical="center"/>
    </xf>
    <xf numFmtId="0" fontId="3" fillId="5" borderId="2" xfId="0" applyFont="1" applyFill="1" applyBorder="1"/>
    <xf numFmtId="0" fontId="10" fillId="4" borderId="3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4" fillId="2" borderId="5" xfId="0" applyFont="1" applyFill="1" applyBorder="1"/>
    <xf numFmtId="0" fontId="4" fillId="2" borderId="5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5" xfId="0" applyFont="1" applyFill="1" applyBorder="1"/>
    <xf numFmtId="0" fontId="12" fillId="2" borderId="5" xfId="0" applyFont="1" applyFill="1" applyBorder="1" applyAlignment="1">
      <alignment horizontal="center" vertical="center"/>
    </xf>
    <xf numFmtId="0" fontId="13" fillId="2" borderId="0" xfId="0" applyFont="1" applyFill="1"/>
    <xf numFmtId="0" fontId="11" fillId="2" borderId="5" xfId="0" applyFont="1" applyFill="1" applyBorder="1"/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right"/>
    </xf>
    <xf numFmtId="0" fontId="11" fillId="2" borderId="5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0" fillId="4" borderId="6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3" fillId="5" borderId="0" xfId="0" applyFont="1" applyFill="1"/>
    <xf numFmtId="0" fontId="4" fillId="2" borderId="7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1" fillId="7" borderId="0" xfId="0" applyFont="1" applyFill="1"/>
    <xf numFmtId="0" fontId="4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 wrapText="1"/>
    </xf>
    <xf numFmtId="0" fontId="3" fillId="7" borderId="0" xfId="0" applyFont="1" applyFill="1"/>
    <xf numFmtId="0" fontId="2" fillId="7" borderId="0" xfId="0" applyFont="1" applyFill="1"/>
    <xf numFmtId="0" fontId="13" fillId="7" borderId="0" xfId="0" applyFont="1" applyFill="1"/>
    <xf numFmtId="0" fontId="0" fillId="8" borderId="0" xfId="0" applyFill="1"/>
    <xf numFmtId="0" fontId="10" fillId="7" borderId="0" xfId="0" applyFont="1" applyFill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4" fontId="22" fillId="6" borderId="4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 vertical="center"/>
    </xf>
    <xf numFmtId="0" fontId="2" fillId="2" borderId="5" xfId="0" applyFont="1" applyFill="1" applyBorder="1"/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190499</xdr:colOff>
      <xdr:row>1</xdr:row>
      <xdr:rowOff>28575</xdr:rowOff>
    </xdr:from>
    <xdr:ext cx="2352967" cy="57946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2474" y="228600"/>
          <a:ext cx="2352967" cy="57946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workbookViewId="0">
      <selection activeCell="C11" sqref="C11"/>
    </sheetView>
  </sheetViews>
  <sheetFormatPr baseColWidth="10" defaultColWidth="12.625" defaultRowHeight="15" customHeight="1"/>
  <cols>
    <col min="1" max="1" width="5.5" style="48" customWidth="1"/>
    <col min="2" max="2" width="2.5" customWidth="1"/>
    <col min="3" max="3" width="8.625" customWidth="1"/>
    <col min="4" max="4" width="18.125" customWidth="1"/>
    <col min="5" max="5" width="12.875" customWidth="1"/>
    <col min="6" max="6" width="11.125" customWidth="1"/>
    <col min="7" max="7" width="13.125" customWidth="1"/>
    <col min="8" max="8" width="31.25" customWidth="1"/>
    <col min="9" max="9" width="24.375" customWidth="1"/>
    <col min="10" max="10" width="16.75" customWidth="1"/>
    <col min="11" max="11" width="12.125" customWidth="1"/>
    <col min="12" max="12" width="2.5" customWidth="1"/>
    <col min="13" max="13" width="5.625" style="48" customWidth="1"/>
  </cols>
  <sheetData>
    <row r="1" spans="1:13" ht="15.75" customHeight="1">
      <c r="A1" s="41"/>
      <c r="B1" s="1"/>
      <c r="C1" s="2"/>
      <c r="D1" s="2"/>
      <c r="E1" s="2"/>
      <c r="F1" s="2"/>
      <c r="G1" s="2"/>
      <c r="H1" s="2"/>
      <c r="I1" s="3"/>
      <c r="J1" s="2"/>
      <c r="K1" s="2"/>
      <c r="L1" s="2"/>
      <c r="M1" s="41"/>
    </row>
    <row r="2" spans="1:13" ht="19.5" customHeight="1">
      <c r="A2" s="42"/>
      <c r="B2" s="4"/>
      <c r="C2" s="4"/>
      <c r="D2" s="4"/>
      <c r="E2" s="4"/>
      <c r="F2" s="4"/>
      <c r="G2" s="4"/>
      <c r="H2" s="37"/>
      <c r="I2" s="5"/>
      <c r="J2" s="4"/>
      <c r="K2" s="6"/>
      <c r="L2" s="4"/>
      <c r="M2" s="42"/>
    </row>
    <row r="3" spans="1:13" ht="18" customHeight="1">
      <c r="A3" s="42"/>
      <c r="B3" s="4"/>
      <c r="C3" s="7"/>
      <c r="D3" s="4"/>
      <c r="E3" s="4"/>
      <c r="F3" s="4"/>
      <c r="G3" s="4"/>
      <c r="H3" s="8"/>
      <c r="I3" s="9"/>
      <c r="J3" s="10"/>
      <c r="K3" s="11"/>
      <c r="L3" s="4"/>
      <c r="M3" s="42"/>
    </row>
    <row r="4" spans="1:13" ht="18" customHeight="1">
      <c r="A4" s="42"/>
      <c r="B4" s="4"/>
      <c r="C4" s="7"/>
      <c r="D4" s="4"/>
      <c r="E4" s="4"/>
      <c r="F4" s="4"/>
      <c r="G4" s="4"/>
      <c r="H4" s="8"/>
      <c r="I4" s="12"/>
      <c r="J4" s="4"/>
      <c r="K4" s="6"/>
      <c r="L4" s="4"/>
      <c r="M4" s="42"/>
    </row>
    <row r="5" spans="1:13" ht="12.75" customHeight="1">
      <c r="A5" s="42"/>
      <c r="B5" s="4"/>
      <c r="C5" s="7"/>
      <c r="D5" s="4"/>
      <c r="E5" s="4"/>
      <c r="F5" s="4"/>
      <c r="G5" s="4"/>
      <c r="H5" s="8"/>
      <c r="I5" s="12"/>
      <c r="J5" s="4"/>
      <c r="K5" s="6"/>
      <c r="L5" s="4"/>
      <c r="M5" s="42"/>
    </row>
    <row r="6" spans="1:13" ht="18" customHeight="1">
      <c r="A6" s="42"/>
      <c r="B6" s="4"/>
      <c r="C6" s="13" t="s">
        <v>717</v>
      </c>
      <c r="D6" s="13"/>
      <c r="E6" s="14"/>
      <c r="F6" s="14"/>
      <c r="G6" s="14"/>
      <c r="H6" s="12"/>
      <c r="I6" s="12"/>
      <c r="J6" s="4"/>
      <c r="K6" s="6"/>
      <c r="L6" s="4"/>
      <c r="M6" s="42"/>
    </row>
    <row r="7" spans="1:13" ht="18" customHeight="1">
      <c r="A7" s="42"/>
      <c r="B7" s="4"/>
      <c r="C7" s="15" t="s">
        <v>718</v>
      </c>
      <c r="D7" s="15"/>
      <c r="E7" s="36"/>
      <c r="F7" s="36"/>
      <c r="G7" s="36"/>
      <c r="H7" s="12"/>
      <c r="I7" s="12"/>
      <c r="J7" s="4"/>
      <c r="K7" s="6"/>
      <c r="L7" s="4"/>
      <c r="M7" s="42"/>
    </row>
    <row r="8" spans="1:13" ht="18" customHeight="1">
      <c r="A8" s="42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42"/>
    </row>
    <row r="9" spans="1:13" ht="21" customHeight="1">
      <c r="A9" s="43"/>
      <c r="B9" s="16"/>
      <c r="C9" s="52" t="s">
        <v>0</v>
      </c>
      <c r="D9" s="17"/>
      <c r="E9" s="17"/>
      <c r="F9" s="17"/>
      <c r="G9" s="35"/>
      <c r="H9" s="34"/>
      <c r="I9" s="17" t="s">
        <v>1</v>
      </c>
      <c r="J9" s="17"/>
      <c r="K9" s="18"/>
      <c r="L9" s="19"/>
      <c r="M9" s="49"/>
    </row>
    <row r="10" spans="1:13" s="39" customFormat="1" ht="39" customHeight="1">
      <c r="A10" s="44"/>
      <c r="B10" s="38"/>
      <c r="C10" s="50" t="s">
        <v>2</v>
      </c>
      <c r="D10" s="50" t="s">
        <v>719</v>
      </c>
      <c r="E10" s="50" t="s">
        <v>720</v>
      </c>
      <c r="F10" s="50" t="s">
        <v>721</v>
      </c>
      <c r="G10" s="50" t="s">
        <v>722</v>
      </c>
      <c r="H10" s="50" t="s">
        <v>723</v>
      </c>
      <c r="I10" s="54" t="s">
        <v>742</v>
      </c>
      <c r="J10" s="55" t="s">
        <v>3</v>
      </c>
      <c r="K10" s="51" t="s">
        <v>4</v>
      </c>
      <c r="M10" s="44"/>
    </row>
    <row r="11" spans="1:13">
      <c r="A11" s="41"/>
      <c r="B11" s="20"/>
      <c r="C11" s="21"/>
      <c r="D11" s="21"/>
      <c r="E11" s="21"/>
      <c r="F11" s="21"/>
      <c r="G11" s="21"/>
      <c r="H11" s="21"/>
      <c r="I11" s="22"/>
      <c r="J11" s="21"/>
      <c r="K11" s="21"/>
      <c r="L11" s="2"/>
      <c r="M11" s="41"/>
    </row>
    <row r="12" spans="1:13" ht="14.25">
      <c r="A12" s="45"/>
      <c r="B12" s="2"/>
      <c r="C12" s="21"/>
      <c r="D12" s="21"/>
      <c r="E12" s="21"/>
      <c r="F12" s="21"/>
      <c r="G12" s="21"/>
      <c r="H12" s="21"/>
      <c r="I12" s="23"/>
      <c r="J12" s="24"/>
      <c r="K12" s="21"/>
      <c r="L12" s="2"/>
      <c r="M12" s="45"/>
    </row>
    <row r="13" spans="1:13" ht="14.25">
      <c r="A13" s="45"/>
      <c r="B13" s="2"/>
      <c r="C13" s="21"/>
      <c r="D13" s="21"/>
      <c r="E13" s="21"/>
      <c r="F13" s="21"/>
      <c r="G13" s="24"/>
      <c r="H13" s="21"/>
      <c r="I13" s="23"/>
      <c r="J13" s="24"/>
      <c r="K13" s="53"/>
      <c r="L13" s="2"/>
      <c r="M13" s="45"/>
    </row>
    <row r="14" spans="1:13" ht="14.25">
      <c r="A14" s="45"/>
      <c r="B14" s="2"/>
      <c r="C14" s="24"/>
      <c r="D14" s="24"/>
      <c r="E14" s="24"/>
      <c r="F14" s="24"/>
      <c r="G14" s="24"/>
      <c r="H14" s="24"/>
      <c r="I14" s="23"/>
      <c r="J14" s="24"/>
      <c r="K14" s="24"/>
      <c r="L14" s="2"/>
      <c r="M14" s="45"/>
    </row>
    <row r="15" spans="1:13" ht="14.25">
      <c r="A15" s="46"/>
      <c r="B15" s="1"/>
      <c r="C15" s="24"/>
      <c r="D15" s="24"/>
      <c r="E15" s="24"/>
      <c r="F15" s="24"/>
      <c r="G15" s="24"/>
      <c r="H15" s="25"/>
      <c r="I15" s="23"/>
      <c r="J15" s="24"/>
      <c r="K15" s="24"/>
      <c r="L15" s="2"/>
      <c r="M15" s="45"/>
    </row>
    <row r="16" spans="1:13" ht="16.5" customHeight="1">
      <c r="A16" s="47"/>
      <c r="B16" s="26"/>
      <c r="C16" s="27"/>
      <c r="D16" s="27"/>
      <c r="E16" s="27"/>
      <c r="F16" s="27"/>
      <c r="G16" s="24"/>
      <c r="H16" s="28"/>
      <c r="I16" s="23"/>
      <c r="J16" s="24"/>
      <c r="K16" s="24"/>
      <c r="L16" s="2"/>
      <c r="M16" s="45"/>
    </row>
    <row r="17" spans="1:13" ht="14.25">
      <c r="A17" s="46"/>
      <c r="B17" s="1"/>
      <c r="C17" s="24"/>
      <c r="D17" s="24"/>
      <c r="E17" s="24"/>
      <c r="F17" s="24"/>
      <c r="G17" s="29"/>
      <c r="H17" s="30"/>
      <c r="I17" s="23"/>
      <c r="J17" s="24"/>
      <c r="K17" s="24"/>
      <c r="L17" s="2"/>
      <c r="M17" s="45"/>
    </row>
    <row r="18" spans="1:13" ht="14.25">
      <c r="A18" s="46"/>
      <c r="B18" s="1"/>
      <c r="C18" s="24"/>
      <c r="D18" s="24"/>
      <c r="E18" s="24"/>
      <c r="F18" s="24"/>
      <c r="G18" s="29"/>
      <c r="H18" s="30"/>
      <c r="I18" s="23"/>
      <c r="J18" s="24"/>
      <c r="K18" s="24"/>
      <c r="L18" s="2"/>
      <c r="M18" s="45"/>
    </row>
    <row r="19" spans="1:13" ht="14.25">
      <c r="A19" s="46"/>
      <c r="B19" s="1"/>
      <c r="C19" s="24"/>
      <c r="D19" s="24"/>
      <c r="E19" s="24"/>
      <c r="F19" s="24"/>
      <c r="G19" s="24"/>
      <c r="H19" s="28"/>
      <c r="I19" s="23"/>
      <c r="J19" s="24"/>
      <c r="K19" s="24"/>
      <c r="L19" s="2"/>
      <c r="M19" s="45"/>
    </row>
    <row r="20" spans="1:13" ht="14.25">
      <c r="A20" s="46"/>
      <c r="B20" s="1"/>
      <c r="C20" s="24"/>
      <c r="D20" s="24"/>
      <c r="E20" s="24"/>
      <c r="F20" s="24"/>
      <c r="G20" s="24"/>
      <c r="H20" s="28"/>
      <c r="I20" s="23"/>
      <c r="J20" s="24"/>
      <c r="K20" s="24"/>
      <c r="L20" s="2"/>
      <c r="M20" s="45"/>
    </row>
    <row r="21" spans="1:13" ht="14.25">
      <c r="A21" s="45"/>
      <c r="B21" s="2"/>
      <c r="C21" s="24"/>
      <c r="D21" s="24"/>
      <c r="E21" s="24"/>
      <c r="F21" s="24"/>
      <c r="G21" s="24"/>
      <c r="H21" s="24"/>
      <c r="I21" s="23"/>
      <c r="J21" s="24"/>
      <c r="K21" s="24"/>
      <c r="L21" s="2"/>
      <c r="M21" s="45"/>
    </row>
    <row r="22" spans="1:13" ht="14.25">
      <c r="A22" s="46"/>
      <c r="B22" s="1"/>
      <c r="C22" s="24"/>
      <c r="D22" s="24"/>
      <c r="E22" s="24"/>
      <c r="F22" s="24"/>
      <c r="G22" s="24"/>
      <c r="H22" s="24"/>
      <c r="I22" s="23"/>
      <c r="J22" s="24"/>
      <c r="K22" s="24"/>
      <c r="L22" s="2"/>
      <c r="M22" s="46"/>
    </row>
    <row r="23" spans="1:13" ht="14.25">
      <c r="A23" s="46"/>
      <c r="B23" s="1"/>
      <c r="C23" s="24"/>
      <c r="D23" s="24"/>
      <c r="E23" s="24"/>
      <c r="F23" s="24"/>
      <c r="G23" s="24"/>
      <c r="H23" s="24"/>
      <c r="I23" s="23"/>
      <c r="J23" s="24"/>
      <c r="K23" s="24"/>
      <c r="L23" s="2"/>
      <c r="M23" s="46"/>
    </row>
    <row r="24" spans="1:13" ht="14.25">
      <c r="A24" s="46"/>
      <c r="B24" s="1"/>
      <c r="C24" s="24"/>
      <c r="D24" s="24"/>
      <c r="E24" s="24"/>
      <c r="F24" s="24"/>
      <c r="G24" s="24"/>
      <c r="H24" s="24"/>
      <c r="I24" s="23"/>
      <c r="J24" s="24"/>
      <c r="K24" s="24"/>
      <c r="L24" s="2"/>
      <c r="M24" s="46"/>
    </row>
    <row r="25" spans="1:13" ht="14.25">
      <c r="A25" s="46"/>
      <c r="B25" s="1"/>
      <c r="C25" s="24"/>
      <c r="D25" s="24"/>
      <c r="E25" s="24"/>
      <c r="F25" s="24"/>
      <c r="G25" s="24"/>
      <c r="H25" s="24"/>
      <c r="I25" s="23"/>
      <c r="J25" s="24"/>
      <c r="K25" s="24"/>
      <c r="L25" s="2"/>
      <c r="M25" s="46"/>
    </row>
    <row r="26" spans="1:13" ht="14.25">
      <c r="A26" s="46"/>
      <c r="B26" s="1"/>
      <c r="C26" s="24"/>
      <c r="D26" s="24"/>
      <c r="E26" s="24"/>
      <c r="F26" s="24"/>
      <c r="G26" s="24"/>
      <c r="H26" s="24"/>
      <c r="I26" s="23"/>
      <c r="J26" s="24"/>
      <c r="K26" s="24"/>
      <c r="L26" s="2"/>
      <c r="M26" s="46"/>
    </row>
    <row r="27" spans="1:13" ht="15.75" customHeight="1">
      <c r="A27" s="46"/>
      <c r="B27" s="1"/>
      <c r="C27" s="24"/>
      <c r="D27" s="24"/>
      <c r="E27" s="24"/>
      <c r="F27" s="24"/>
      <c r="G27" s="24"/>
      <c r="H27" s="24"/>
      <c r="I27" s="23"/>
      <c r="J27" s="24"/>
      <c r="K27" s="24"/>
      <c r="L27" s="2"/>
      <c r="M27" s="46"/>
    </row>
    <row r="28" spans="1:13" ht="15.75" customHeight="1">
      <c r="A28" s="46"/>
      <c r="B28" s="1"/>
      <c r="C28" s="24"/>
      <c r="D28" s="24"/>
      <c r="E28" s="24"/>
      <c r="F28" s="24"/>
      <c r="G28" s="24"/>
      <c r="H28" s="24"/>
      <c r="I28" s="23"/>
      <c r="J28" s="24"/>
      <c r="K28" s="24"/>
      <c r="L28" s="2"/>
      <c r="M28" s="46"/>
    </row>
    <row r="29" spans="1:13" ht="15.75" customHeight="1">
      <c r="A29" s="46"/>
      <c r="B29" s="1"/>
      <c r="C29" s="24"/>
      <c r="D29" s="24"/>
      <c r="E29" s="24"/>
      <c r="F29" s="24"/>
      <c r="G29" s="24"/>
      <c r="H29" s="24"/>
      <c r="I29" s="23"/>
      <c r="J29" s="24"/>
      <c r="K29" s="24"/>
      <c r="L29" s="2"/>
      <c r="M29" s="46"/>
    </row>
    <row r="30" spans="1:13" ht="15.75" customHeight="1">
      <c r="A30" s="46"/>
      <c r="B30" s="1"/>
      <c r="C30" s="24"/>
      <c r="D30" s="24"/>
      <c r="E30" s="24"/>
      <c r="F30" s="24"/>
      <c r="G30" s="24"/>
      <c r="H30" s="24"/>
      <c r="I30" s="23"/>
      <c r="J30" s="24"/>
      <c r="K30" s="24"/>
      <c r="L30" s="2"/>
      <c r="M30" s="46"/>
    </row>
    <row r="31" spans="1:13" ht="15.75" customHeight="1">
      <c r="A31" s="46"/>
      <c r="B31" s="1"/>
      <c r="C31" s="2"/>
      <c r="D31" s="2"/>
      <c r="E31" s="2"/>
      <c r="F31" s="2"/>
      <c r="G31" s="2"/>
      <c r="H31" s="2"/>
      <c r="I31" s="3"/>
      <c r="J31" s="2"/>
      <c r="K31" s="2"/>
      <c r="L31" s="2"/>
      <c r="M31" s="46"/>
    </row>
    <row r="32" spans="1:13" ht="15.75" customHeight="1">
      <c r="A32" s="46"/>
      <c r="B32" s="1"/>
      <c r="C32" s="31" t="s">
        <v>740</v>
      </c>
      <c r="D32" s="2"/>
      <c r="E32" s="2"/>
      <c r="F32" s="2"/>
      <c r="G32" s="2"/>
      <c r="H32" s="2"/>
      <c r="I32" s="3"/>
      <c r="J32" s="2"/>
      <c r="K32" s="2"/>
      <c r="L32" s="2"/>
      <c r="M32" s="46"/>
    </row>
    <row r="33" spans="1:13" ht="15" customHeight="1">
      <c r="A33" s="46"/>
      <c r="B33" s="2"/>
      <c r="C33" s="31" t="s">
        <v>741</v>
      </c>
      <c r="D33" s="31"/>
      <c r="E33" s="31"/>
      <c r="F33" s="31"/>
      <c r="G33" s="2"/>
      <c r="H33" s="2"/>
      <c r="I33" s="3"/>
      <c r="J33" s="2"/>
      <c r="K33" s="2"/>
      <c r="L33" s="2"/>
      <c r="M33" s="46"/>
    </row>
    <row r="34" spans="1:13" ht="15" customHeight="1">
      <c r="A34" s="46"/>
      <c r="B34" s="2"/>
      <c r="C34" s="32" t="s">
        <v>5</v>
      </c>
      <c r="D34" s="32"/>
      <c r="E34" s="32"/>
      <c r="F34" s="32"/>
      <c r="G34" s="2"/>
      <c r="H34" s="2"/>
      <c r="I34" s="3"/>
      <c r="J34" s="2"/>
      <c r="K34" s="2"/>
      <c r="L34" s="2"/>
      <c r="M34" s="46"/>
    </row>
    <row r="35" spans="1:13" ht="27.75" customHeight="1">
      <c r="A35" s="46"/>
      <c r="B35" s="1"/>
      <c r="C35" s="2"/>
      <c r="D35" s="2"/>
      <c r="E35" s="2"/>
      <c r="F35" s="2"/>
      <c r="G35" s="2"/>
      <c r="H35" s="2"/>
      <c r="I35" s="3"/>
      <c r="J35" s="2"/>
      <c r="K35" s="2"/>
      <c r="L35" s="2"/>
      <c r="M35" s="46"/>
    </row>
  </sheetData>
  <mergeCells count="1">
    <mergeCell ref="B8:L8"/>
  </mergeCells>
  <dataValidations count="4">
    <dataValidation type="custom" allowBlank="1" showDropDown="1" showInputMessage="1" showErrorMessage="1" prompt="Introduce una fecha válida." sqref="L9:M9">
      <formula1>OR(NOT(ISERROR(DATEVALUE(L9))), AND(ISNUMBER(L9), LEFT(CELL("format", L9))="D"))</formula1>
    </dataValidation>
    <dataValidation type="custom" allowBlank="1" showInputMessage="1" showErrorMessage="1" sqref="K1:K10">
      <formula1>OR(ISNUMBER(K11), ISERROR(LOOKUP(",", K11)))</formula1>
    </dataValidation>
    <dataValidation allowBlank="1" showInputMessage="1" showErrorMessage="1" prompt="Utilice &quot;coma&quot; como separador de decimales." sqref="K11:K1048576"/>
    <dataValidation type="whole" operator="greaterThan" allowBlank="1" showDropDown="1" showInputMessage="1" promptTitle="Enumere los puntos de generación" prompt="Utilice un renglón por cada categoría de Residuo Especial generada en el punto de generación." sqref="C34:C1048576 C11:C32">
      <formula1>1</formula1>
    </dataValidation>
  </dataValidations>
  <pageMargins left="0.7" right="0.7" top="0.75" bottom="0.75" header="0" footer="0"/>
  <pageSetup paperSize="9" fitToHeight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>
          <x14:formula1>
            <xm:f>Conf.!$E$2:$E$639</xm:f>
          </x14:formula1>
          <xm:sqref>D11:F30</xm:sqref>
        </x14:dataValidation>
        <x14:dataValidation type="list" allowBlank="1" showInputMessage="1" showErrorMessage="1" prompt="Haga click en la celda y seleccione el estado físico correspondiente a la categoría seleccionada anteriormente.">
          <x14:formula1>
            <xm:f>Conf.!$A$2:$A$4</xm:f>
          </x14:formula1>
          <xm:sqref>J11:J1048576</xm:sqref>
        </x14:dataValidation>
        <x14:dataValidation type="list" allowBlank="1" showInputMessage="1" showErrorMessage="1" prompt="Haga click en la celda y seleccione la categoría correspondiente.">
          <x14:formula1>
            <xm:f>Conf.!$B$2:$B$61</xm:f>
          </x14:formula1>
          <xm:sqref>I11:I1048576</xm:sqref>
        </x14:dataValidation>
        <x14:dataValidation type="list" allowBlank="1" showDropDown="1" showInputMessage="1" promptTitle="Geográficas" prompt="En formato decimal, _x000a_Ej: -38.95602, _x000a_-67.92031">
          <x14:formula1>
            <xm:f>Conf.!$E$2:$E$639</xm:f>
          </x14:formula1>
          <xm:sqref>H11:H1048576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49"/>
  <sheetViews>
    <sheetView topLeftCell="A2" workbookViewId="0">
      <selection activeCell="B46" sqref="B46:B61"/>
    </sheetView>
  </sheetViews>
  <sheetFormatPr baseColWidth="10" defaultColWidth="12.625" defaultRowHeight="15" customHeight="1"/>
  <cols>
    <col min="4" max="4" width="12.625" hidden="1"/>
  </cols>
  <sheetData>
    <row r="1" spans="1:5">
      <c r="A1" s="33" t="s">
        <v>6</v>
      </c>
      <c r="B1" s="33" t="s">
        <v>7</v>
      </c>
      <c r="C1" s="33" t="s">
        <v>8</v>
      </c>
      <c r="E1" s="33" t="s">
        <v>9</v>
      </c>
    </row>
    <row r="2" spans="1:5">
      <c r="A2" s="33" t="s">
        <v>10</v>
      </c>
      <c r="B2" s="33" t="s">
        <v>11</v>
      </c>
      <c r="C2" s="33" t="s">
        <v>12</v>
      </c>
      <c r="D2" s="33" t="s">
        <v>13</v>
      </c>
      <c r="E2" s="33" t="str">
        <f ca="1">IFERROR(__xludf.DUMMYFUNCTION("UNIQUE(D2:D949)"),"Pecom Servicios Energía S.A.")</f>
        <v>Pecom Servicios Energía S.A.</v>
      </c>
    </row>
    <row r="3" spans="1:5">
      <c r="A3" s="33" t="s">
        <v>14</v>
      </c>
      <c r="B3" s="33" t="s">
        <v>15</v>
      </c>
      <c r="C3" s="33" t="s">
        <v>16</v>
      </c>
      <c r="D3" s="33" t="s">
        <v>17</v>
      </c>
      <c r="E3" s="33" t="str">
        <f ca="1">IFERROR(__xludf.DUMMYFUNCTION("""COMPUTED_VALUE"""),"Servicios Herrera S.R.L.")</f>
        <v>Servicios Herrera S.R.L.</v>
      </c>
    </row>
    <row r="4" spans="1:5">
      <c r="A4" s="33" t="s">
        <v>18</v>
      </c>
      <c r="B4" s="33" t="s">
        <v>19</v>
      </c>
      <c r="C4" s="33" t="s">
        <v>20</v>
      </c>
      <c r="D4" s="33" t="s">
        <v>21</v>
      </c>
      <c r="E4" s="33" t="str">
        <f ca="1">IFERROR(__xludf.DUMMYFUNCTION("""COMPUTED_VALUE"""),"Bolland y Cía S.A.")</f>
        <v>Bolland y Cía S.A.</v>
      </c>
    </row>
    <row r="5" spans="1:5">
      <c r="B5" s="33" t="s">
        <v>22</v>
      </c>
      <c r="C5" s="33" t="s">
        <v>23</v>
      </c>
      <c r="D5" s="33" t="s">
        <v>24</v>
      </c>
      <c r="E5" s="33" t="str">
        <f ca="1">IFERROR(__xludf.DUMMYFUNCTION("""COMPUTED_VALUE"""),"Australquim S.R.L.")</f>
        <v>Australquim S.R.L.</v>
      </c>
    </row>
    <row r="6" spans="1:5">
      <c r="B6" s="33" t="s">
        <v>25</v>
      </c>
      <c r="C6" s="33" t="s">
        <v>26</v>
      </c>
      <c r="D6" s="33" t="s">
        <v>27</v>
      </c>
      <c r="E6" s="33" t="str">
        <f ca="1">IFERROR(__xludf.DUMMYFUNCTION("""COMPUTED_VALUE"""),"Proexport S.A.")</f>
        <v>Proexport S.A.</v>
      </c>
    </row>
    <row r="7" spans="1:5">
      <c r="B7" s="33" t="s">
        <v>28</v>
      </c>
      <c r="C7" s="33" t="s">
        <v>29</v>
      </c>
      <c r="D7" s="33" t="s">
        <v>30</v>
      </c>
      <c r="E7" s="33" t="str">
        <f ca="1">IFERROR(__xludf.DUMMYFUNCTION("""COMPUTED_VALUE"""),"WILOG Servicios S.A.")</f>
        <v>WILOG Servicios S.A.</v>
      </c>
    </row>
    <row r="8" spans="1:5">
      <c r="B8" s="33" t="s">
        <v>31</v>
      </c>
      <c r="C8" s="33" t="s">
        <v>32</v>
      </c>
      <c r="D8" s="33" t="s">
        <v>33</v>
      </c>
      <c r="E8" s="33" t="str">
        <f ca="1">IFERROR(__xludf.DUMMYFUNCTION("""COMPUTED_VALUE"""),"INDAR S.A.")</f>
        <v>INDAR S.A.</v>
      </c>
    </row>
    <row r="9" spans="1:5">
      <c r="B9" s="33" t="s">
        <v>34</v>
      </c>
      <c r="C9" s="33" t="s">
        <v>35</v>
      </c>
      <c r="D9" s="33" t="s">
        <v>36</v>
      </c>
      <c r="E9" s="33" t="str">
        <f ca="1">IFERROR(__xludf.DUMMYFUNCTION("""COMPUTED_VALUE"""),"HSEQ Argentina")</f>
        <v>HSEQ Argentina</v>
      </c>
    </row>
    <row r="10" spans="1:5">
      <c r="B10" s="33" t="s">
        <v>37</v>
      </c>
      <c r="C10" s="33" t="s">
        <v>38</v>
      </c>
      <c r="D10" s="33" t="s">
        <v>39</v>
      </c>
      <c r="E10" s="33" t="str">
        <f ca="1">IFERROR(__xludf.DUMMYFUNCTION("""COMPUTED_VALUE"""),"Petróleos Sudamericanos S.A.")</f>
        <v>Petróleos Sudamericanos S.A.</v>
      </c>
    </row>
    <row r="11" spans="1:5">
      <c r="B11" s="33" t="s">
        <v>40</v>
      </c>
      <c r="C11" s="33" t="s">
        <v>41</v>
      </c>
      <c r="D11" s="33" t="s">
        <v>42</v>
      </c>
      <c r="E11" s="33" t="str">
        <f ca="1">IFERROR(__xludf.DUMMYFUNCTION("""COMPUTED_VALUE"""),"ACA")</f>
        <v>ACA</v>
      </c>
    </row>
    <row r="12" spans="1:5">
      <c r="B12" s="33" t="s">
        <v>43</v>
      </c>
      <c r="C12" s="33" t="s">
        <v>44</v>
      </c>
      <c r="D12" s="33" t="s">
        <v>45</v>
      </c>
      <c r="E12" s="33" t="str">
        <f ca="1">IFERROR(__xludf.DUMMYFUNCTION("""COMPUTED_VALUE"""),"Transportes Crexell S.A.
")</f>
        <v xml:space="preserve">Transportes Crexell S.A.
</v>
      </c>
    </row>
    <row r="13" spans="1:5">
      <c r="B13" s="33" t="s">
        <v>46</v>
      </c>
      <c r="C13" s="33" t="s">
        <v>47</v>
      </c>
      <c r="D13" s="33" t="s">
        <v>48</v>
      </c>
      <c r="E13" s="33" t="str">
        <f ca="1">IFERROR(__xludf.DUMMYFUNCTION("""COMPUTED_VALUE"""),"Capex S.A.")</f>
        <v>Capex S.A.</v>
      </c>
    </row>
    <row r="14" spans="1:5">
      <c r="B14" s="33" t="s">
        <v>49</v>
      </c>
      <c r="C14" s="33" t="s">
        <v>50</v>
      </c>
      <c r="D14" s="33" t="s">
        <v>51</v>
      </c>
      <c r="E14" s="33" t="str">
        <f ca="1">IFERROR(__xludf.DUMMYFUNCTION("""COMPUTED_VALUE"""),"CN SAPAG S.A.")</f>
        <v>CN SAPAG S.A.</v>
      </c>
    </row>
    <row r="15" spans="1:5">
      <c r="B15" s="33" t="s">
        <v>52</v>
      </c>
      <c r="C15" s="33" t="s">
        <v>53</v>
      </c>
      <c r="D15" s="33" t="s">
        <v>54</v>
      </c>
      <c r="E15" s="33" t="str">
        <f ca="1">IFERROR(__xludf.DUMMYFUNCTION("""COMPUTED_VALUE"""),"Biosum S.R.L.")</f>
        <v>Biosum S.R.L.</v>
      </c>
    </row>
    <row r="16" spans="1:5">
      <c r="B16" s="33" t="s">
        <v>55</v>
      </c>
      <c r="C16" s="33" t="s">
        <v>56</v>
      </c>
      <c r="D16" s="33" t="s">
        <v>57</v>
      </c>
      <c r="E16" s="33" t="str">
        <f ca="1">IFERROR(__xludf.DUMMYFUNCTION("""COMPUTED_VALUE"""),"Servicios HLB S.A")</f>
        <v>Servicios HLB S.A</v>
      </c>
    </row>
    <row r="17" spans="2:5">
      <c r="B17" s="33" t="s">
        <v>58</v>
      </c>
      <c r="C17" s="33" t="s">
        <v>59</v>
      </c>
      <c r="D17" s="33" t="s">
        <v>60</v>
      </c>
      <c r="E17" s="33" t="str">
        <f ca="1">IFERROR(__xludf.DUMMYFUNCTION("""COMPUTED_VALUE"""),"President Petroleum S.A.")</f>
        <v>President Petroleum S.A.</v>
      </c>
    </row>
    <row r="18" spans="2:5">
      <c r="B18" s="33" t="s">
        <v>61</v>
      </c>
      <c r="C18" s="33" t="s">
        <v>62</v>
      </c>
      <c r="D18" s="33" t="s">
        <v>63</v>
      </c>
      <c r="E18" s="33" t="str">
        <f ca="1">IFERROR(__xludf.DUMMYFUNCTION("""COMPUTED_VALUE"""),"RA Servicios Generales S.R.L.")</f>
        <v>RA Servicios Generales S.R.L.</v>
      </c>
    </row>
    <row r="19" spans="2:5">
      <c r="B19" s="33" t="s">
        <v>64</v>
      </c>
      <c r="C19" s="33" t="s">
        <v>65</v>
      </c>
      <c r="D19" s="33" t="s">
        <v>66</v>
      </c>
      <c r="E19" s="33" t="str">
        <f ca="1">IFERROR(__xludf.DUMMYFUNCTION("""COMPUTED_VALUE"""),"SKANSKA")</f>
        <v>SKANSKA</v>
      </c>
    </row>
    <row r="20" spans="2:5">
      <c r="B20" s="33" t="s">
        <v>67</v>
      </c>
      <c r="C20" s="33" t="s">
        <v>68</v>
      </c>
      <c r="D20" s="33" t="s">
        <v>69</v>
      </c>
      <c r="E20" s="33" t="str">
        <f ca="1">IFERROR(__xludf.DUMMYFUNCTION("""COMPUTED_VALUE"""),"E.S. OPESSA")</f>
        <v>E.S. OPESSA</v>
      </c>
    </row>
    <row r="21" spans="2:5">
      <c r="B21" s="33" t="s">
        <v>70</v>
      </c>
      <c r="C21" s="33" t="s">
        <v>71</v>
      </c>
      <c r="D21" s="33" t="s">
        <v>72</v>
      </c>
      <c r="E21" s="33" t="str">
        <f ca="1">IFERROR(__xludf.DUMMYFUNCTION("""COMPUTED_VALUE"""),"Grupo Vía Bariloche")</f>
        <v>Grupo Vía Bariloche</v>
      </c>
    </row>
    <row r="22" spans="2:5">
      <c r="B22" s="33" t="s">
        <v>73</v>
      </c>
      <c r="C22" s="33" t="s">
        <v>74</v>
      </c>
      <c r="D22" s="33" t="s">
        <v>75</v>
      </c>
      <c r="E22" s="33" t="str">
        <f ca="1">IFERROR(__xludf.DUMMYFUNCTION("""COMPUTED_VALUE"""),"TREATER Soluciones Ambientales")</f>
        <v>TREATER Soluciones Ambientales</v>
      </c>
    </row>
    <row r="23" spans="2:5">
      <c r="B23" s="33" t="s">
        <v>76</v>
      </c>
      <c r="C23" s="33" t="s">
        <v>77</v>
      </c>
      <c r="D23" s="33" t="s">
        <v>78</v>
      </c>
      <c r="E23" s="33" t="str">
        <f ca="1">IFERROR(__xludf.DUMMYFUNCTION("""COMPUTED_VALUE"""),"Oldelval S.A.")</f>
        <v>Oldelval S.A.</v>
      </c>
    </row>
    <row r="24" spans="2:5">
      <c r="B24" s="33" t="s">
        <v>79</v>
      </c>
      <c r="D24" s="33" t="s">
        <v>80</v>
      </c>
      <c r="E24" s="33" t="str">
        <f ca="1">IFERROR(__xludf.DUMMYFUNCTION("""COMPUTED_VALUE"""),"Ambient All S.R.L.")</f>
        <v>Ambient All S.R.L.</v>
      </c>
    </row>
    <row r="25" spans="2:5">
      <c r="B25" s="33" t="s">
        <v>81</v>
      </c>
      <c r="D25" s="33" t="s">
        <v>82</v>
      </c>
      <c r="E25" s="33" t="str">
        <f ca="1">IFERROR(__xludf.DUMMYFUNCTION("""COMPUTED_VALUE"""),"SEGAR S.A.")</f>
        <v>SEGAR S.A.</v>
      </c>
    </row>
    <row r="26" spans="2:5">
      <c r="B26" s="33" t="s">
        <v>83</v>
      </c>
      <c r="D26" s="33" t="s">
        <v>84</v>
      </c>
      <c r="E26" s="33" t="str">
        <f ca="1">IFERROR(__xludf.DUMMYFUNCTION("""COMPUTED_VALUE"""),"All Road S.A.")</f>
        <v>All Road S.A.</v>
      </c>
    </row>
    <row r="27" spans="2:5">
      <c r="B27" s="33" t="s">
        <v>85</v>
      </c>
      <c r="D27" s="33" t="s">
        <v>86</v>
      </c>
      <c r="E27" s="33" t="str">
        <f ca="1">IFERROR(__xludf.DUMMYFUNCTION("""COMPUTED_VALUE"""),"Lahue Servicios Petroleros S.R.L.")</f>
        <v>Lahue Servicios Petroleros S.R.L.</v>
      </c>
    </row>
    <row r="28" spans="2:5">
      <c r="B28" s="33" t="s">
        <v>87</v>
      </c>
      <c r="D28" s="33" t="s">
        <v>88</v>
      </c>
      <c r="E28" s="33" t="str">
        <f ca="1">IFERROR(__xludf.DUMMYFUNCTION("""COMPUTED_VALUE"""),"EcoAmbiental S.A.")</f>
        <v>EcoAmbiental S.A.</v>
      </c>
    </row>
    <row r="29" spans="2:5">
      <c r="B29" s="33" t="s">
        <v>89</v>
      </c>
      <c r="D29" s="33" t="s">
        <v>90</v>
      </c>
      <c r="E29" s="33" t="str">
        <f ca="1">IFERROR(__xludf.DUMMYFUNCTION("""COMPUTED_VALUE"""),"Servicios Petroleros MIRASAL S.A.")</f>
        <v>Servicios Petroleros MIRASAL S.A.</v>
      </c>
    </row>
    <row r="30" spans="2:5">
      <c r="B30" s="33" t="s">
        <v>91</v>
      </c>
      <c r="D30" s="33" t="s">
        <v>92</v>
      </c>
      <c r="E30" s="33" t="str">
        <f ca="1">IFERROR(__xludf.DUMMYFUNCTION("""COMPUTED_VALUE"""),"Madalena Petroleum Americas Ltd.")</f>
        <v>Madalena Petroleum Americas Ltd.</v>
      </c>
    </row>
    <row r="31" spans="2:5">
      <c r="B31" s="33" t="s">
        <v>93</v>
      </c>
      <c r="D31" s="33" t="s">
        <v>94</v>
      </c>
      <c r="E31" s="33" t="str">
        <f ca="1">IFERROR(__xludf.DUMMYFUNCTION("""COMPUTED_VALUE"""),"Enviromental Services S.R.L.")</f>
        <v>Enviromental Services S.R.L.</v>
      </c>
    </row>
    <row r="32" spans="2:5">
      <c r="B32" s="33" t="s">
        <v>95</v>
      </c>
      <c r="D32" s="33" t="s">
        <v>96</v>
      </c>
      <c r="E32" s="33" t="str">
        <f ca="1">IFERROR(__xludf.DUMMYFUNCTION("""COMPUTED_VALUE"""),"PEGO S.A.")</f>
        <v>PEGO S.A.</v>
      </c>
    </row>
    <row r="33" spans="2:5">
      <c r="B33" s="33" t="s">
        <v>97</v>
      </c>
      <c r="D33" s="33" t="s">
        <v>98</v>
      </c>
      <c r="E33" s="33" t="str">
        <f ca="1">IFERROR(__xludf.DUMMYFUNCTION("""COMPUTED_VALUE"""),"CGC S.A.")</f>
        <v>CGC S.A.</v>
      </c>
    </row>
    <row r="34" spans="2:5">
      <c r="B34" s="33" t="s">
        <v>99</v>
      </c>
      <c r="D34" s="33" t="s">
        <v>100</v>
      </c>
      <c r="E34" s="33" t="str">
        <f ca="1">IFERROR(__xludf.DUMMYFUNCTION("""COMPUTED_VALUE"""),"Vial Agro S.A.")</f>
        <v>Vial Agro S.A.</v>
      </c>
    </row>
    <row r="35" spans="2:5">
      <c r="B35" s="33" t="s">
        <v>101</v>
      </c>
      <c r="D35" s="33" t="s">
        <v>102</v>
      </c>
      <c r="E35" s="33" t="str">
        <f ca="1">IFERROR(__xludf.DUMMYFUNCTION("""COMPUTED_VALUE"""),"Quinpe S.R.L.")</f>
        <v>Quinpe S.R.L.</v>
      </c>
    </row>
    <row r="36" spans="2:5">
      <c r="B36" s="33" t="s">
        <v>103</v>
      </c>
      <c r="D36" s="33" t="s">
        <v>104</v>
      </c>
      <c r="E36" s="33" t="str">
        <f ca="1">IFERROR(__xludf.DUMMYFUNCTION("""COMPUTED_VALUE"""),"TGS S.A.")</f>
        <v>TGS S.A.</v>
      </c>
    </row>
    <row r="37" spans="2:5">
      <c r="B37" s="33" t="s">
        <v>105</v>
      </c>
      <c r="D37" s="33" t="s">
        <v>106</v>
      </c>
      <c r="E37" s="33" t="str">
        <f ca="1">IFERROR(__xludf.DUMMYFUNCTION("""COMPUTED_VALUE"""),"Tres G S.R.L.")</f>
        <v>Tres G S.R.L.</v>
      </c>
    </row>
    <row r="38" spans="2:5">
      <c r="B38" s="33" t="s">
        <v>107</v>
      </c>
      <c r="D38" s="33" t="s">
        <v>108</v>
      </c>
      <c r="E38" s="33" t="str">
        <f ca="1">IFERROR(__xludf.DUMMYFUNCTION("""COMPUTED_VALUE"""),"Grupo Horizonte S.R.L.")</f>
        <v>Grupo Horizonte S.R.L.</v>
      </c>
    </row>
    <row r="39" spans="2:5">
      <c r="B39" s="33" t="s">
        <v>109</v>
      </c>
      <c r="D39" s="33" t="s">
        <v>110</v>
      </c>
      <c r="E39" s="33" t="str">
        <f ca="1">IFERROR(__xludf.DUMMYFUNCTION("""COMPUTED_VALUE"""),"E.S. Servicios Cipolletti S.R.L.")</f>
        <v>E.S. Servicios Cipolletti S.R.L.</v>
      </c>
    </row>
    <row r="40" spans="2:5">
      <c r="B40" s="33" t="s">
        <v>111</v>
      </c>
      <c r="D40" s="33" t="s">
        <v>112</v>
      </c>
      <c r="E40" s="33" t="str">
        <f ca="1">IFERROR(__xludf.DUMMYFUNCTION("""COMPUTED_VALUE"""),"Compañía TSB S.A.")</f>
        <v>Compañía TSB S.A.</v>
      </c>
    </row>
    <row r="41" spans="2:5">
      <c r="B41" s="33" t="s">
        <v>113</v>
      </c>
      <c r="D41" s="33" t="s">
        <v>114</v>
      </c>
      <c r="E41" s="33" t="str">
        <f ca="1">IFERROR(__xludf.DUMMYFUNCTION("""COMPUTED_VALUE"""),"Crisalis S.R.L.")</f>
        <v>Crisalis S.R.L.</v>
      </c>
    </row>
    <row r="42" spans="2:5">
      <c r="B42" s="33" t="s">
        <v>115</v>
      </c>
      <c r="D42" s="33" t="s">
        <v>116</v>
      </c>
      <c r="E42" s="33" t="str">
        <f ca="1">IFERROR(__xludf.DUMMYFUNCTION("""COMPUTED_VALUE"""),"YPF S.A.")</f>
        <v>YPF S.A.</v>
      </c>
    </row>
    <row r="43" spans="2:5">
      <c r="B43" s="33" t="s">
        <v>117</v>
      </c>
      <c r="D43" s="33" t="s">
        <v>118</v>
      </c>
      <c r="E43" s="33" t="str">
        <f ca="1">IFERROR(__xludf.DUMMYFUNCTION("""COMPUTED_VALUE"""),"Durlock S.A.")</f>
        <v>Durlock S.A.</v>
      </c>
    </row>
    <row r="44" spans="2:5">
      <c r="B44" s="33" t="s">
        <v>119</v>
      </c>
      <c r="D44" s="33" t="s">
        <v>120</v>
      </c>
      <c r="E44" s="33" t="str">
        <f ca="1">IFERROR(__xludf.DUMMYFUNCTION("""COMPUTED_VALUE"""),"Proeco S.R.L.")</f>
        <v>Proeco S.R.L.</v>
      </c>
    </row>
    <row r="45" spans="2:5">
      <c r="B45" s="33" t="s">
        <v>121</v>
      </c>
      <c r="D45" s="33" t="s">
        <v>122</v>
      </c>
      <c r="E45" s="33" t="str">
        <f ca="1">IFERROR(__xludf.DUMMYFUNCTION("""COMPUTED_VALUE"""),"Transporte Peduzzi S.R.L.")</f>
        <v>Transporte Peduzzi S.R.L.</v>
      </c>
    </row>
    <row r="46" spans="2:5">
      <c r="B46" s="40" t="s">
        <v>724</v>
      </c>
      <c r="D46" s="33" t="s">
        <v>123</v>
      </c>
      <c r="E46" s="33" t="str">
        <f ca="1">IFERROR(__xludf.DUMMYFUNCTION("""COMPUTED_VALUE"""),"EGN Ecogestion S.R.L.")</f>
        <v>EGN Ecogestion S.R.L.</v>
      </c>
    </row>
    <row r="47" spans="2:5">
      <c r="B47" s="40" t="s">
        <v>725</v>
      </c>
      <c r="D47" s="33" t="s">
        <v>124</v>
      </c>
      <c r="E47" s="33" t="str">
        <f ca="1">IFERROR(__xludf.DUMMYFUNCTION("""COMPUTED_VALUE"""),"Tecpetrol S.A.")</f>
        <v>Tecpetrol S.A.</v>
      </c>
    </row>
    <row r="48" spans="2:5">
      <c r="B48" s="40" t="s">
        <v>726</v>
      </c>
      <c r="D48" s="33" t="s">
        <v>125</v>
      </c>
      <c r="E48" s="33" t="str">
        <f ca="1">IFERROR(__xludf.DUMMYFUNCTION("""COMPUTED_VALUE"""),"Municipalidad de Cipolletti")</f>
        <v>Municipalidad de Cipolletti</v>
      </c>
    </row>
    <row r="49" spans="2:5">
      <c r="B49" s="40" t="s">
        <v>727</v>
      </c>
      <c r="D49" s="33" t="s">
        <v>126</v>
      </c>
      <c r="E49" s="33" t="str">
        <f ca="1">IFERROR(__xludf.DUMMYFUNCTION("""COMPUTED_VALUE"""),"Kilwer S.A.")</f>
        <v>Kilwer S.A.</v>
      </c>
    </row>
    <row r="50" spans="2:5">
      <c r="B50" s="40" t="s">
        <v>728</v>
      </c>
      <c r="D50" s="33" t="s">
        <v>127</v>
      </c>
      <c r="E50" s="33" t="str">
        <f ca="1">IFERROR(__xludf.DUMMYFUNCTION("""COMPUTED_VALUE"""),"INDUSLAB")</f>
        <v>INDUSLAB</v>
      </c>
    </row>
    <row r="51" spans="2:5">
      <c r="B51" s="40" t="s">
        <v>729</v>
      </c>
      <c r="D51" s="33" t="s">
        <v>128</v>
      </c>
      <c r="E51" s="33" t="str">
        <f ca="1">IFERROR(__xludf.DUMMYFUNCTION("""COMPUTED_VALUE"""),"P. Tortoriello y cía. S.R.L.")</f>
        <v>P. Tortoriello y cía. S.R.L.</v>
      </c>
    </row>
    <row r="52" spans="2:5">
      <c r="B52" s="40" t="s">
        <v>730</v>
      </c>
      <c r="D52" s="33" t="s">
        <v>129</v>
      </c>
      <c r="E52" s="33" t="str">
        <f ca="1">IFERROR(__xludf.DUMMYFUNCTION("""COMPUTED_VALUE"""),"Soluciones Ambientales Patagonia S.A.")</f>
        <v>Soluciones Ambientales Patagonia S.A.</v>
      </c>
    </row>
    <row r="53" spans="2:5">
      <c r="B53" s="40" t="s">
        <v>731</v>
      </c>
      <c r="D53" s="33" t="s">
        <v>130</v>
      </c>
      <c r="E53" s="33" t="str">
        <f ca="1">IFERROR(__xludf.DUMMYFUNCTION("""COMPUTED_VALUE"""),"Sullair Argentina S.A.")</f>
        <v>Sullair Argentina S.A.</v>
      </c>
    </row>
    <row r="54" spans="2:5">
      <c r="B54" s="40" t="s">
        <v>732</v>
      </c>
      <c r="D54" s="33" t="s">
        <v>131</v>
      </c>
      <c r="E54" s="33" t="str">
        <f ca="1">IFERROR(__xludf.DUMMYFUNCTION("""COMPUTED_VALUE"""),"JMB Ingeniería Ambiental S.A.")</f>
        <v>JMB Ingeniería Ambiental S.A.</v>
      </c>
    </row>
    <row r="55" spans="2:5">
      <c r="B55" s="40" t="s">
        <v>733</v>
      </c>
      <c r="D55" s="33" t="s">
        <v>132</v>
      </c>
      <c r="E55" s="33" t="str">
        <f ca="1">IFERROR(__xludf.DUMMYFUNCTION("""COMPUTED_VALUE"""),"Brava Group")</f>
        <v>Brava Group</v>
      </c>
    </row>
    <row r="56" spans="2:5">
      <c r="B56" s="40" t="s">
        <v>734</v>
      </c>
      <c r="D56" s="33" t="s">
        <v>133</v>
      </c>
      <c r="E56" s="33" t="str">
        <f ca="1">IFERROR(__xludf.DUMMYFUNCTION("""COMPUTED_VALUE"""),"Armorique Motors S.A. Peugeot")</f>
        <v>Armorique Motors S.A. Peugeot</v>
      </c>
    </row>
    <row r="57" spans="2:5">
      <c r="B57" s="40" t="s">
        <v>735</v>
      </c>
      <c r="D57" s="33" t="s">
        <v>134</v>
      </c>
      <c r="E57" s="33" t="str">
        <f ca="1">IFERROR(__xludf.DUMMYFUNCTION("""COMPUTED_VALUE"""),"Tacker S.R.L.")</f>
        <v>Tacker S.R.L.</v>
      </c>
    </row>
    <row r="58" spans="2:5">
      <c r="B58" s="40" t="s">
        <v>736</v>
      </c>
      <c r="D58" s="33" t="s">
        <v>135</v>
      </c>
      <c r="E58" s="33" t="str">
        <f ca="1">IFERROR(__xludf.DUMMYFUNCTION("""COMPUTED_VALUE"""),"Tuboscope Vetco de Argentina S.A.")</f>
        <v>Tuboscope Vetco de Argentina S.A.</v>
      </c>
    </row>
    <row r="59" spans="2:5">
      <c r="B59" s="40" t="s">
        <v>737</v>
      </c>
      <c r="D59" s="33" t="s">
        <v>136</v>
      </c>
      <c r="E59" s="33" t="str">
        <f ca="1">IFERROR(__xludf.DUMMYFUNCTION("""COMPUTED_VALUE"""),"Smith Int. A Schlumberger")</f>
        <v>Smith Int. A Schlumberger</v>
      </c>
    </row>
    <row r="60" spans="2:5">
      <c r="B60" s="40" t="s">
        <v>738</v>
      </c>
      <c r="D60" s="33" t="s">
        <v>137</v>
      </c>
      <c r="E60" s="33" t="str">
        <f ca="1">IFERROR(__xludf.DUMMYFUNCTION("""COMPUTED_VALUE"""),"Guzman Gabriel")</f>
        <v>Guzman Gabriel</v>
      </c>
    </row>
    <row r="61" spans="2:5">
      <c r="B61" s="40" t="s">
        <v>739</v>
      </c>
      <c r="D61" s="33" t="s">
        <v>138</v>
      </c>
      <c r="E61" s="33" t="str">
        <f ca="1">IFERROR(__xludf.DUMMYFUNCTION("""COMPUTED_VALUE"""),"Allen Clean S.R.L.")</f>
        <v>Allen Clean S.R.L.</v>
      </c>
    </row>
    <row r="62" spans="2:5">
      <c r="D62" s="33" t="s">
        <v>139</v>
      </c>
      <c r="E62" s="33" t="str">
        <f ca="1">IFERROR(__xludf.DUMMYFUNCTION("""COMPUTED_VALUE"""),"Petrolera Aconcagua Energía")</f>
        <v>Petrolera Aconcagua Energía</v>
      </c>
    </row>
    <row r="63" spans="2:5">
      <c r="D63" s="33" t="s">
        <v>140</v>
      </c>
      <c r="E63" s="33" t="str">
        <f ca="1">IFERROR(__xludf.DUMMYFUNCTION("""COMPUTED_VALUE"""),"Transporte Acuña S.R.L.")</f>
        <v>Transporte Acuña S.R.L.</v>
      </c>
    </row>
    <row r="64" spans="2:5">
      <c r="D64" s="33" t="s">
        <v>141</v>
      </c>
      <c r="E64" s="33" t="str">
        <f ca="1">IFERROR(__xludf.DUMMYFUNCTION("""COMPUTED_VALUE"""),"WENLEN S.A.")</f>
        <v>WENLEN S.A.</v>
      </c>
    </row>
    <row r="65" spans="4:5">
      <c r="D65" s="33" t="s">
        <v>142</v>
      </c>
      <c r="E65" s="33" t="str">
        <f ca="1">IFERROR(__xludf.DUMMYFUNCTION("""COMPUTED_VALUE"""),"Transporte Gabino Celso Correa")</f>
        <v>Transporte Gabino Celso Correa</v>
      </c>
    </row>
    <row r="66" spans="4:5">
      <c r="D66" s="33" t="s">
        <v>143</v>
      </c>
      <c r="E66" s="33" t="str">
        <f ca="1">IFERROR(__xludf.DUMMYFUNCTION("""COMPUTED_VALUE"""),"Moto Mecanica Argentina S.A")</f>
        <v>Moto Mecanica Argentina S.A</v>
      </c>
    </row>
    <row r="67" spans="4:5">
      <c r="D67" s="33" t="s">
        <v>144</v>
      </c>
      <c r="E67" s="33" t="str">
        <f ca="1">IFERROR(__xludf.DUMMYFUNCTION("""COMPUTED_VALUE"""),"Transporte Juan de Dios Rodríguez")</f>
        <v>Transporte Juan de Dios Rodríguez</v>
      </c>
    </row>
    <row r="68" spans="4:5">
      <c r="D68" s="33" t="s">
        <v>145</v>
      </c>
      <c r="E68" s="33" t="str">
        <f ca="1">IFERROR(__xludf.DUMMYFUNCTION("""COMPUTED_VALUE"""),"Nippon Car S.R.L")</f>
        <v>Nippon Car S.R.L</v>
      </c>
    </row>
    <row r="69" spans="4:5">
      <c r="D69" s="33" t="s">
        <v>146</v>
      </c>
      <c r="E69" s="33" t="str">
        <f ca="1">IFERROR(__xludf.DUMMYFUNCTION("""COMPUTED_VALUE"""),"KO-KO S.R.L.")</f>
        <v>KO-KO S.R.L.</v>
      </c>
    </row>
    <row r="70" spans="4:5">
      <c r="D70" s="33" t="s">
        <v>147</v>
      </c>
      <c r="E70" s="33" t="str">
        <f ca="1">IFERROR(__xludf.DUMMYFUNCTION("""COMPUTED_VALUE"""),"Via Bariloche S.A.")</f>
        <v>Via Bariloche S.A.</v>
      </c>
    </row>
    <row r="71" spans="4:5">
      <c r="D71" s="33" t="s">
        <v>148</v>
      </c>
      <c r="E71" s="33" t="str">
        <f ca="1">IFERROR(__xludf.DUMMYFUNCTION("""COMPUTED_VALUE"""),"Expro Argentina S.R.L.")</f>
        <v>Expro Argentina S.R.L.</v>
      </c>
    </row>
    <row r="72" spans="4:5">
      <c r="D72" s="33" t="s">
        <v>149</v>
      </c>
      <c r="E72" s="33" t="str">
        <f ca="1">IFERROR(__xludf.DUMMYFUNCTION("""COMPUTED_VALUE"""),"Agricheck S.R.L.")</f>
        <v>Agricheck S.R.L.</v>
      </c>
    </row>
    <row r="73" spans="4:5">
      <c r="D73" s="33" t="s">
        <v>150</v>
      </c>
      <c r="E73" s="33" t="str">
        <f ca="1">IFERROR(__xludf.DUMMYFUNCTION("""COMPUTED_VALUE"""),"Fierrodos S.A.")</f>
        <v>Fierrodos S.A.</v>
      </c>
    </row>
    <row r="74" spans="4:5">
      <c r="D74" s="33" t="s">
        <v>151</v>
      </c>
      <c r="E74" s="33" t="str">
        <f ca="1">IFERROR(__xludf.DUMMYFUNCTION("""COMPUTED_VALUE"""),"Texproil S.R.L")</f>
        <v>Texproil S.R.L</v>
      </c>
    </row>
    <row r="75" spans="4:5">
      <c r="D75" s="33" t="s">
        <v>152</v>
      </c>
      <c r="E75" s="33" t="str">
        <f ca="1">IFERROR(__xludf.DUMMYFUNCTION("""COMPUTED_VALUE"""),"Transporte Pedro Ismael Rodríguez")</f>
        <v>Transporte Pedro Ismael Rodríguez</v>
      </c>
    </row>
    <row r="76" spans="4:5">
      <c r="D76" s="33" t="s">
        <v>153</v>
      </c>
      <c r="E76" s="33" t="str">
        <f ca="1">IFERROR(__xludf.DUMMYFUNCTION("""COMPUTED_VALUE"""),"Prodeng S.A.")</f>
        <v>Prodeng S.A.</v>
      </c>
    </row>
    <row r="77" spans="4:5">
      <c r="D77" s="33" t="s">
        <v>154</v>
      </c>
      <c r="E77" s="33" t="str">
        <f ca="1">IFERROR(__xludf.DUMMYFUNCTION("""COMPUTED_VALUE"""),"Christensen Roder Argentina S.A.")</f>
        <v>Christensen Roder Argentina S.A.</v>
      </c>
    </row>
    <row r="78" spans="4:5">
      <c r="D78" s="33" t="s">
        <v>155</v>
      </c>
      <c r="E78" s="33" t="str">
        <f ca="1">IFERROR(__xludf.DUMMYFUNCTION("""COMPUTED_VALUE"""),"Weatherford Int. Arg. S.A.")</f>
        <v>Weatherford Int. Arg. S.A.</v>
      </c>
    </row>
    <row r="79" spans="4:5">
      <c r="D79" s="33" t="s">
        <v>156</v>
      </c>
      <c r="E79" s="33" t="str">
        <f ca="1">IFERROR(__xludf.DUMMYFUNCTION("""COMPUTED_VALUE"""),"Cervecería y Maltería Quilmes SAICA y G")</f>
        <v>Cervecería y Maltería Quilmes SAICA y G</v>
      </c>
    </row>
    <row r="80" spans="4:5">
      <c r="D80" s="33" t="s">
        <v>157</v>
      </c>
      <c r="E80" s="33" t="str">
        <f ca="1">IFERROR(__xludf.DUMMYFUNCTION("""COMPUTED_VALUE"""),"Zavecom S.R.L")</f>
        <v>Zavecom S.R.L</v>
      </c>
    </row>
    <row r="81" spans="4:5">
      <c r="D81" s="33" t="s">
        <v>158</v>
      </c>
      <c r="E81" s="33" t="str">
        <f ca="1">IFERROR(__xludf.DUMMYFUNCTION("""COMPUTED_VALUE"""),"AESA S.A.")</f>
        <v>AESA S.A.</v>
      </c>
    </row>
    <row r="82" spans="4:5">
      <c r="D82" s="33" t="s">
        <v>159</v>
      </c>
      <c r="E82" s="33" t="str">
        <f ca="1">IFERROR(__xludf.DUMMYFUNCTION("""COMPUTED_VALUE"""),"San Antonio International Oil &amp; Gas Services LLC")</f>
        <v>San Antonio International Oil &amp; Gas Services LLC</v>
      </c>
    </row>
    <row r="83" spans="4:5">
      <c r="D83" s="33" t="s">
        <v>160</v>
      </c>
      <c r="E83" s="33" t="str">
        <f ca="1">IFERROR(__xludf.DUMMYFUNCTION("""COMPUTED_VALUE"""),"Ente Ejecutivo Presa Embalse Casa de Piedra")</f>
        <v>Ente Ejecutivo Presa Embalse Casa de Piedra</v>
      </c>
    </row>
    <row r="84" spans="4:5">
      <c r="D84" s="33" t="s">
        <v>161</v>
      </c>
      <c r="E84" s="33" t="str">
        <f ca="1">IFERROR(__xludf.DUMMYFUNCTION("""COMPUTED_VALUE"""),"TLT S.R.L.")</f>
        <v>TLT S.R.L.</v>
      </c>
    </row>
    <row r="85" spans="4:5">
      <c r="D85" s="33" t="s">
        <v>162</v>
      </c>
      <c r="E85" s="33" t="str">
        <f ca="1">IFERROR(__xludf.DUMMYFUNCTION("""COMPUTED_VALUE"""),"Cerro Negro S.A.")</f>
        <v>Cerro Negro S.A.</v>
      </c>
    </row>
    <row r="86" spans="4:5">
      <c r="D86" s="33" t="s">
        <v>163</v>
      </c>
      <c r="E86" s="33" t="str">
        <f ca="1">IFERROR(__xludf.DUMMYFUNCTION("""COMPUTED_VALUE"""),"IPES S.A.")</f>
        <v>IPES S.A.</v>
      </c>
    </row>
    <row r="87" spans="4:5">
      <c r="D87" s="33" t="s">
        <v>164</v>
      </c>
      <c r="E87" s="33" t="str">
        <f ca="1">IFERROR(__xludf.DUMMYFUNCTION("""COMPUTED_VALUE"""),"Petróleos Sudamericanos S.A. Necon S.A. UTE")</f>
        <v>Petróleos Sudamericanos S.A. Necon S.A. UTE</v>
      </c>
    </row>
    <row r="88" spans="4:5">
      <c r="D88" s="33" t="s">
        <v>165</v>
      </c>
      <c r="E88" s="33" t="str">
        <f ca="1">IFERROR(__xludf.DUMMYFUNCTION("""COMPUTED_VALUE"""),"Blok Oil Field Services S.A.")</f>
        <v>Blok Oil Field Services S.A.</v>
      </c>
    </row>
    <row r="89" spans="4:5">
      <c r="D89" s="33" t="s">
        <v>166</v>
      </c>
      <c r="E89" s="33" t="str">
        <f ca="1">IFERROR(__xludf.DUMMYFUNCTION("""COMPUTED_VALUE"""),"Biorrem S.A.")</f>
        <v>Biorrem S.A.</v>
      </c>
    </row>
    <row r="90" spans="4:5">
      <c r="D90" s="33" t="s">
        <v>167</v>
      </c>
      <c r="E90" s="33" t="str">
        <f ca="1">IFERROR(__xludf.DUMMYFUNCTION("""COMPUTED_VALUE"""),"Sanovo Greenpack Argentina S.R.L.")</f>
        <v>Sanovo Greenpack Argentina S.R.L.</v>
      </c>
    </row>
    <row r="91" spans="4:5">
      <c r="D91" s="33" t="s">
        <v>168</v>
      </c>
      <c r="E91" s="33" t="str">
        <f ca="1">IFERROR(__xludf.DUMMYFUNCTION("""COMPUTED_VALUE"""),"Departamento Provincial de Aguas")</f>
        <v>Departamento Provincial de Aguas</v>
      </c>
    </row>
    <row r="92" spans="4:5">
      <c r="D92" s="33" t="s">
        <v>169</v>
      </c>
      <c r="E92" s="33" t="str">
        <f ca="1">IFERROR(__xludf.DUMMYFUNCTION("""COMPUTED_VALUE"""),"Servicios Especiales San Antonio S.A.")</f>
        <v>Servicios Especiales San Antonio S.A.</v>
      </c>
    </row>
    <row r="93" spans="4:5">
      <c r="D93" s="33" t="s">
        <v>170</v>
      </c>
      <c r="E93" s="33" t="str">
        <f ca="1">IFERROR(__xludf.DUMMYFUNCTION("""COMPUTED_VALUE"""),"Servicios Conosur S.A.")</f>
        <v>Servicios Conosur S.A.</v>
      </c>
    </row>
    <row r="94" spans="4:5">
      <c r="D94" s="33" t="s">
        <v>171</v>
      </c>
      <c r="E94" s="33" t="str">
        <f ca="1">IFERROR(__xludf.DUMMYFUNCTION("""COMPUTED_VALUE"""),"BIOSERVICES GROUP S.A.")</f>
        <v>BIOSERVICES GROUP S.A.</v>
      </c>
    </row>
    <row r="95" spans="4:5">
      <c r="D95" s="33" t="s">
        <v>172</v>
      </c>
      <c r="E95" s="33" t="str">
        <f ca="1">IFERROR(__xludf.DUMMYFUNCTION("""COMPUTED_VALUE"""),"ENSURCO S.A")</f>
        <v>ENSURCO S.A</v>
      </c>
    </row>
    <row r="96" spans="4:5">
      <c r="D96" s="33" t="s">
        <v>173</v>
      </c>
      <c r="E96" s="33" t="str">
        <f ca="1">IFERROR(__xludf.DUMMYFUNCTION("""COMPUTED_VALUE"""),"DISAB SUDAMERICANA S.A.")</f>
        <v>DISAB SUDAMERICANA S.A.</v>
      </c>
    </row>
    <row r="97" spans="4:5">
      <c r="D97" s="33" t="s">
        <v>174</v>
      </c>
      <c r="E97" s="33" t="str">
        <f ca="1">IFERROR(__xludf.DUMMYFUNCTION("""COMPUTED_VALUE"""),"ALPAT S.A.I.C.")</f>
        <v>ALPAT S.A.I.C.</v>
      </c>
    </row>
    <row r="98" spans="4:5">
      <c r="D98" s="33" t="s">
        <v>175</v>
      </c>
      <c r="E98" s="33" t="str">
        <f ca="1">IFERROR(__xludf.DUMMYFUNCTION("""COMPUTED_VALUE"""),"ECOCHEM S.A")</f>
        <v>ECOCHEM S.A</v>
      </c>
    </row>
    <row r="99" spans="4:5">
      <c r="D99" s="33" t="s">
        <v>176</v>
      </c>
      <c r="E99" s="33" t="str">
        <f ca="1">IFERROR(__xludf.DUMMYFUNCTION("""COMPUTED_VALUE"""),"FATELGO SRL")</f>
        <v>FATELGO SRL</v>
      </c>
    </row>
    <row r="100" spans="4:5">
      <c r="D100" s="33" t="s">
        <v>177</v>
      </c>
      <c r="E100" s="33" t="str">
        <f ca="1">IFERROR(__xludf.DUMMYFUNCTION("""COMPUTED_VALUE"""),"BEFESA ARGENTINA S.A.")</f>
        <v>BEFESA ARGENTINA S.A.</v>
      </c>
    </row>
    <row r="101" spans="4:5">
      <c r="D101" s="33" t="s">
        <v>178</v>
      </c>
      <c r="E101" s="33" t="str">
        <f ca="1">IFERROR(__xludf.DUMMYFUNCTION("""COMPUTED_VALUE"""),"SERVICIOS VERTUA S.A.")</f>
        <v>SERVICIOS VERTUA S.A.</v>
      </c>
    </row>
    <row r="102" spans="4:5">
      <c r="D102" s="33" t="s">
        <v>179</v>
      </c>
      <c r="E102" s="33" t="str">
        <f ca="1">IFERROR(__xludf.DUMMYFUNCTION("""COMPUTED_VALUE"""),"TRANSPORTE OMAR A. MIGUEL")</f>
        <v>TRANSPORTE OMAR A. MIGUEL</v>
      </c>
    </row>
    <row r="103" spans="4:5">
      <c r="D103" s="33" t="s">
        <v>180</v>
      </c>
      <c r="E103" s="33" t="str">
        <f ca="1">IFERROR(__xludf.DUMMYFUNCTION("""COMPUTED_VALUE"""),"ELECTROMAQ")</f>
        <v>ELECTROMAQ</v>
      </c>
    </row>
    <row r="104" spans="4:5">
      <c r="D104" s="33" t="s">
        <v>181</v>
      </c>
      <c r="E104" s="33" t="str">
        <f ca="1">IFERROR(__xludf.DUMMYFUNCTION("""COMPUTED_VALUE"""),"CENTRO CONSTRUCCIONES S.A.")</f>
        <v>CENTRO CONSTRUCCIONES S.A.</v>
      </c>
    </row>
    <row r="105" spans="4:5">
      <c r="D105" s="33" t="s">
        <v>182</v>
      </c>
      <c r="E105" s="33" t="str">
        <f ca="1">IFERROR(__xludf.DUMMYFUNCTION("""COMPUTED_VALUE"""),"ENSI S.E")</f>
        <v>ENSI S.E</v>
      </c>
    </row>
    <row r="106" spans="4:5">
      <c r="D106" s="33" t="s">
        <v>183</v>
      </c>
      <c r="E106" s="33" t="str">
        <f ca="1">IFERROR(__xludf.DUMMYFUNCTION("""COMPUTED_VALUE"""),"URS CORPORATION S.A.")</f>
        <v>URS CORPORATION S.A.</v>
      </c>
    </row>
    <row r="107" spans="4:5">
      <c r="D107" s="33" t="s">
        <v>184</v>
      </c>
      <c r="E107" s="33" t="str">
        <f ca="1">IFERROR(__xludf.DUMMYFUNCTION("""COMPUTED_VALUE"""),"GEOCIENCIA S.R.L.")</f>
        <v>GEOCIENCIA S.R.L.</v>
      </c>
    </row>
    <row r="108" spans="4:5">
      <c r="D108" s="33" t="s">
        <v>185</v>
      </c>
      <c r="E108" s="33" t="str">
        <f ca="1">IFERROR(__xludf.DUMMYFUNCTION("""COMPUTED_VALUE"""),"TRANS-ECOLOGICA S.R.L")</f>
        <v>TRANS-ECOLOGICA S.R.L</v>
      </c>
    </row>
    <row r="109" spans="4:5">
      <c r="D109" s="33" t="s">
        <v>186</v>
      </c>
      <c r="E109" s="33" t="str">
        <f ca="1">IFERROR(__xludf.DUMMYFUNCTION("""COMPUTED_VALUE"""),"TRANSPORTES HERNANDEZ HUGO LUIS Y HECTOR OMAR")</f>
        <v>TRANSPORTES HERNANDEZ HUGO LUIS Y HECTOR OMAR</v>
      </c>
    </row>
    <row r="110" spans="4:5">
      <c r="D110" s="33" t="s">
        <v>187</v>
      </c>
      <c r="E110" s="33" t="str">
        <f ca="1">IFERROR(__xludf.DUMMYFUNCTION("""COMPUTED_VALUE"""),"E.T.T. S.A.")</f>
        <v>E.T.T. S.A.</v>
      </c>
    </row>
    <row r="111" spans="4:5">
      <c r="D111" s="33" t="s">
        <v>188</v>
      </c>
      <c r="E111" s="33" t="str">
        <f ca="1">IFERROR(__xludf.DUMMYFUNCTION("""COMPUTED_VALUE"""),"AES-DISAB S.R.L")</f>
        <v>AES-DISAB S.R.L</v>
      </c>
    </row>
    <row r="112" spans="4:5">
      <c r="D112" s="33" t="s">
        <v>189</v>
      </c>
      <c r="E112" s="33" t="str">
        <f ca="1">IFERROR(__xludf.DUMMYFUNCTION("""COMPUTED_VALUE"""),"DON MARIO SRL (ORELLANA)")</f>
        <v>DON MARIO SRL (ORELLANA)</v>
      </c>
    </row>
    <row r="113" spans="4:5">
      <c r="D113" s="33" t="s">
        <v>190</v>
      </c>
      <c r="E113" s="33" t="str">
        <f ca="1">IFERROR(__xludf.DUMMYFUNCTION("""COMPUTED_VALUE"""),"GUSTAVO H. DELLACANONICA/ NORMA IGLESIAS")</f>
        <v>GUSTAVO H. DELLACANONICA/ NORMA IGLESIAS</v>
      </c>
    </row>
    <row r="114" spans="4:5">
      <c r="D114" s="33" t="s">
        <v>191</v>
      </c>
      <c r="E114" s="33" t="str">
        <f ca="1">IFERROR(__xludf.DUMMYFUNCTION("""COMPUTED_VALUE"""),"WELLDONE SRL")</f>
        <v>WELLDONE SRL</v>
      </c>
    </row>
    <row r="115" spans="4:5">
      <c r="D115" s="33" t="s">
        <v>192</v>
      </c>
      <c r="E115" s="33" t="str">
        <f ca="1">IFERROR(__xludf.DUMMYFUNCTION("""COMPUTED_VALUE"""),"SERPEI S.R.L.")</f>
        <v>SERPEI S.R.L.</v>
      </c>
    </row>
    <row r="116" spans="4:5">
      <c r="D116" s="33" t="s">
        <v>193</v>
      </c>
      <c r="E116" s="33" t="str">
        <f ca="1">IFERROR(__xludf.DUMMYFUNCTION("""COMPUTED_VALUE"""),"PALMERO SAICyAASOCIADOS")</f>
        <v>PALMERO SAICyAASOCIADOS</v>
      </c>
    </row>
    <row r="117" spans="4:5">
      <c r="D117" s="33" t="s">
        <v>194</v>
      </c>
      <c r="E117" s="33" t="str">
        <f ca="1">IFERROR(__xludf.DUMMYFUNCTION("""COMPUTED_VALUE"""),"TRANSPORTE DAMIAN TORRENTE")</f>
        <v>TRANSPORTE DAMIAN TORRENTE</v>
      </c>
    </row>
    <row r="118" spans="4:5">
      <c r="D118" s="33" t="s">
        <v>195</v>
      </c>
      <c r="E118" s="33" t="str">
        <f ca="1">IFERROR(__xludf.DUMMYFUNCTION("""COMPUTED_VALUE"""),"HIGH PRESSURE VACUUM PETROLEUM SERVICES S.A.")</f>
        <v>HIGH PRESSURE VACUUM PETROLEUM SERVICES S.A.</v>
      </c>
    </row>
    <row r="119" spans="4:5">
      <c r="D119" s="33" t="s">
        <v>196</v>
      </c>
      <c r="E119" s="33" t="str">
        <f ca="1">IFERROR(__xludf.DUMMYFUNCTION("""COMPUTED_VALUE"""),"RAMIRO ARCEO SERVICIOS GENERALES")</f>
        <v>RAMIRO ARCEO SERVICIOS GENERALES</v>
      </c>
    </row>
    <row r="120" spans="4:5">
      <c r="D120" s="33" t="s">
        <v>197</v>
      </c>
      <c r="E120" s="33" t="str">
        <f ca="1">IFERROR(__xludf.DUMMYFUNCTION("""COMPUTED_VALUE"""),"FINNING ARGENTINA S.A.")</f>
        <v>FINNING ARGENTINA S.A.</v>
      </c>
    </row>
    <row r="121" spans="4:5">
      <c r="D121" s="33" t="s">
        <v>198</v>
      </c>
      <c r="E121" s="33" t="str">
        <f ca="1">IFERROR(__xludf.DUMMYFUNCTION("""COMPUTED_VALUE"""),"CONTRERAS HNOS. S.A")</f>
        <v>CONTRERAS HNOS. S.A</v>
      </c>
    </row>
    <row r="122" spans="4:5">
      <c r="D122" s="33" t="s">
        <v>199</v>
      </c>
      <c r="E122" s="33" t="str">
        <f ca="1">IFERROR(__xludf.DUMMYFUNCTION("""COMPUTED_VALUE"""),"J.K TRANSPORTE S.A")</f>
        <v>J.K TRANSPORTE S.A</v>
      </c>
    </row>
    <row r="123" spans="4:5">
      <c r="D123" s="33" t="s">
        <v>200</v>
      </c>
      <c r="E123" s="33" t="str">
        <f ca="1">IFERROR(__xludf.DUMMYFUNCTION("""COMPUTED_VALUE"""),"COSAR S.A")</f>
        <v>COSAR S.A</v>
      </c>
    </row>
    <row r="124" spans="4:5">
      <c r="D124" s="33" t="s">
        <v>201</v>
      </c>
      <c r="E124" s="33" t="str">
        <f ca="1">IFERROR(__xludf.DUMMYFUNCTION("""COMPUTED_VALUE"""),"TRANSPORTES FERRERE E HIJOS SRL")</f>
        <v>TRANSPORTES FERRERE E HIJOS SRL</v>
      </c>
    </row>
    <row r="125" spans="4:5">
      <c r="D125" s="33" t="s">
        <v>202</v>
      </c>
      <c r="E125" s="33" t="str">
        <f ca="1">IFERROR(__xludf.DUMMYFUNCTION("""COMPUTED_VALUE"""),"STAR S.A.")</f>
        <v>STAR S.A.</v>
      </c>
    </row>
    <row r="126" spans="4:5">
      <c r="D126" s="33" t="s">
        <v>203</v>
      </c>
      <c r="E126" s="33" t="str">
        <f ca="1">IFERROR(__xludf.DUMMYFUNCTION("""COMPUTED_VALUE"""),"ACRESIND S.H.")</f>
        <v>ACRESIND S.H.</v>
      </c>
    </row>
    <row r="127" spans="4:5">
      <c r="D127" s="33" t="s">
        <v>204</v>
      </c>
      <c r="E127" s="33" t="str">
        <f ca="1">IFERROR(__xludf.DUMMYFUNCTION("""COMPUTED_VALUE"""),"BFU de ARGENTINA S.A.")</f>
        <v>BFU de ARGENTINA S.A.</v>
      </c>
    </row>
    <row r="128" spans="4:5">
      <c r="D128" s="33" t="s">
        <v>205</v>
      </c>
      <c r="E128" s="33" t="str">
        <f ca="1">IFERROR(__xludf.DUMMYFUNCTION("""COMPUTED_VALUE"""),"SOIL KEEPER S.A.")</f>
        <v>SOIL KEEPER S.A.</v>
      </c>
    </row>
    <row r="129" spans="4:5">
      <c r="D129" s="33" t="s">
        <v>206</v>
      </c>
      <c r="E129" s="33" t="str">
        <f ca="1">IFERROR(__xludf.DUMMYFUNCTION("""COMPUTED_VALUE"""),"TECOIL S.A.")</f>
        <v>TECOIL S.A.</v>
      </c>
    </row>
    <row r="130" spans="4:5">
      <c r="D130" s="33" t="s">
        <v>207</v>
      </c>
      <c r="E130" s="33" t="str">
        <f ca="1">IFERROR(__xludf.DUMMYFUNCTION("""COMPUTED_VALUE"""),"INTERGEO ARGENTINA S.A.")</f>
        <v>INTERGEO ARGENTINA S.A.</v>
      </c>
    </row>
    <row r="131" spans="4:5">
      <c r="D131" s="33" t="s">
        <v>208</v>
      </c>
      <c r="E131" s="33" t="str">
        <f ca="1">IFERROR(__xludf.DUMMYFUNCTION("""COMPUTED_VALUE"""),"MINERA AQUILINE S.A.")</f>
        <v>MINERA AQUILINE S.A.</v>
      </c>
    </row>
    <row r="132" spans="4:5">
      <c r="D132" s="33" t="s">
        <v>209</v>
      </c>
      <c r="E132" s="33" t="str">
        <f ca="1">IFERROR(__xludf.DUMMYFUNCTION("""COMPUTED_VALUE"""),"EET S.A. SERVICIOS AMBIENTALES")</f>
        <v>EET S.A. SERVICIOS AMBIENTALES</v>
      </c>
    </row>
    <row r="133" spans="4:5">
      <c r="D133" s="33" t="s">
        <v>210</v>
      </c>
      <c r="E133" s="33" t="str">
        <f ca="1">IFERROR(__xludf.DUMMYFUNCTION("""COMPUTED_VALUE"""),"HAZTEC S.A.")</f>
        <v>HAZTEC S.A.</v>
      </c>
    </row>
    <row r="134" spans="4:5">
      <c r="D134" s="33" t="s">
        <v>211</v>
      </c>
      <c r="E134" s="33" t="str">
        <f ca="1">IFERROR(__xludf.DUMMYFUNCTION("""COMPUTED_VALUE"""),"DESLER S.A.")</f>
        <v>DESLER S.A.</v>
      </c>
    </row>
    <row r="135" spans="4:5">
      <c r="D135" s="33" t="s">
        <v>212</v>
      </c>
      <c r="E135" s="33" t="str">
        <f ca="1">IFERROR(__xludf.DUMMYFUNCTION("""COMPUTED_VALUE"""),"GENERAR S.R.L")</f>
        <v>GENERAR S.R.L</v>
      </c>
    </row>
    <row r="136" spans="4:5">
      <c r="D136" s="33" t="s">
        <v>213</v>
      </c>
      <c r="E136" s="33" t="str">
        <f ca="1">IFERROR(__xludf.DUMMYFUNCTION("""COMPUTED_VALUE"""),"PORRETTI ENRIQUE")</f>
        <v>PORRETTI ENRIQUE</v>
      </c>
    </row>
    <row r="137" spans="4:5">
      <c r="D137" s="33" t="s">
        <v>214</v>
      </c>
      <c r="E137" s="33" t="str">
        <f ca="1">IFERROR(__xludf.DUMMYFUNCTION("""COMPUTED_VALUE"""),"SCUDELATI &amp; ASCOCIADOS SRL")</f>
        <v>SCUDELATI &amp; ASCOCIADOS SRL</v>
      </c>
    </row>
    <row r="138" spans="4:5">
      <c r="D138" s="33" t="s">
        <v>215</v>
      </c>
      <c r="E138" s="33" t="str">
        <f ca="1">IFERROR(__xludf.DUMMYFUNCTION("""COMPUTED_VALUE"""),"SYMEC S.A.")</f>
        <v>SYMEC S.A.</v>
      </c>
    </row>
    <row r="139" spans="4:5">
      <c r="D139" s="33" t="s">
        <v>216</v>
      </c>
      <c r="E139" s="33" t="str">
        <f ca="1">IFERROR(__xludf.DUMMYFUNCTION("""COMPUTED_VALUE"""),"SERMA S.A.")</f>
        <v>SERMA S.A.</v>
      </c>
    </row>
    <row r="140" spans="4:5">
      <c r="D140" s="33" t="s">
        <v>217</v>
      </c>
      <c r="E140" s="33" t="str">
        <f ca="1">IFERROR(__xludf.DUMMYFUNCTION("""COMPUTED_VALUE"""),"TRANSCOMAHUE S.A")</f>
        <v>TRANSCOMAHUE S.A</v>
      </c>
    </row>
    <row r="141" spans="4:5">
      <c r="D141" s="33" t="s">
        <v>218</v>
      </c>
      <c r="E141" s="33" t="str">
        <f ca="1">IFERROR(__xludf.DUMMYFUNCTION("""COMPUTED_VALUE"""),"MCC-MINERA SIERRA GRANDE")</f>
        <v>MCC-MINERA SIERRA GRANDE</v>
      </c>
    </row>
    <row r="142" spans="4:5">
      <c r="D142" s="33" t="s">
        <v>219</v>
      </c>
      <c r="E142" s="33" t="str">
        <f ca="1">IFERROR(__xludf.DUMMYFUNCTION("""COMPUTED_VALUE"""),"ECOLAND S.A.")</f>
        <v>ECOLAND S.A.</v>
      </c>
    </row>
    <row r="143" spans="4:5">
      <c r="D143" s="33" t="s">
        <v>220</v>
      </c>
      <c r="E143" s="33" t="str">
        <f ca="1">IFERROR(__xludf.DUMMYFUNCTION("""COMPUTED_VALUE"""),"SERVICIOS INDUSTRIALES PETROLEROS")</f>
        <v>SERVICIOS INDUSTRIALES PETROLEROS</v>
      </c>
    </row>
    <row r="144" spans="4:5">
      <c r="D144" s="33" t="s">
        <v>221</v>
      </c>
      <c r="E144" s="33" t="str">
        <f ca="1">IFERROR(__xludf.DUMMYFUNCTION("""COMPUTED_VALUE"""),"WILCO S.A.")</f>
        <v>WILCO S.A.</v>
      </c>
    </row>
    <row r="145" spans="4:5">
      <c r="D145" s="33" t="s">
        <v>222</v>
      </c>
      <c r="E145" s="33" t="str">
        <f ca="1">IFERROR(__xludf.DUMMYFUNCTION("""COMPUTED_VALUE"""),"FLUIDTEC")</f>
        <v>FLUIDTEC</v>
      </c>
    </row>
    <row r="146" spans="4:5">
      <c r="D146" s="33" t="s">
        <v>223</v>
      </c>
      <c r="E146" s="33" t="str">
        <f ca="1">IFERROR(__xludf.DUMMYFUNCTION("""COMPUTED_VALUE"""),"COCA COLA POLAR ARGENTINA S.A.")</f>
        <v>COCA COLA POLAR ARGENTINA S.A.</v>
      </c>
    </row>
    <row r="147" spans="4:5">
      <c r="D147" s="33" t="s">
        <v>224</v>
      </c>
      <c r="E147" s="33" t="str">
        <f ca="1">IFERROR(__xludf.DUMMYFUNCTION("""COMPUTED_VALUE"""),"TELEFONICA MOVILES ARGENTINAS S.A.")</f>
        <v>TELEFONICA MOVILES ARGENTINAS S.A.</v>
      </c>
    </row>
    <row r="148" spans="4:5">
      <c r="D148" s="33" t="s">
        <v>225</v>
      </c>
      <c r="E148" s="33" t="str">
        <f ca="1">IFERROR(__xludf.DUMMYFUNCTION("""COMPUTED_VALUE"""),"HECTOR HUGO LORENZO")</f>
        <v>HECTOR HUGO LORENZO</v>
      </c>
    </row>
    <row r="149" spans="4:5">
      <c r="D149" s="33" t="s">
        <v>226</v>
      </c>
      <c r="E149" s="33" t="str">
        <f ca="1">IFERROR(__xludf.DUMMYFUNCTION("""COMPUTED_VALUE"""),"ESSO PETROLERA ARGENTINA SRL")</f>
        <v>ESSO PETROLERA ARGENTINA SRL</v>
      </c>
    </row>
    <row r="150" spans="4:5">
      <c r="D150" s="33" t="s">
        <v>227</v>
      </c>
      <c r="E150" s="33" t="str">
        <f ca="1">IFERROR(__xludf.DUMMYFUNCTION("""COMPUTED_VALUE"""),"TEXEY SRL")</f>
        <v>TEXEY SRL</v>
      </c>
    </row>
    <row r="151" spans="4:5">
      <c r="D151" s="33" t="s">
        <v>228</v>
      </c>
      <c r="E151" s="33" t="str">
        <f ca="1">IFERROR(__xludf.DUMMYFUNCTION("""COMPUTED_VALUE"""),"KNIGHT PIESOLD ARGENTINA CONSULTORES S.A")</f>
        <v>KNIGHT PIESOLD ARGENTINA CONSULTORES S.A</v>
      </c>
    </row>
    <row r="152" spans="4:5">
      <c r="D152" s="33" t="s">
        <v>229</v>
      </c>
      <c r="E152" s="33" t="str">
        <f ca="1">IFERROR(__xludf.DUMMYFUNCTION("""COMPUTED_VALUE"""),"COMARSA")</f>
        <v>COMARSA</v>
      </c>
    </row>
    <row r="153" spans="4:5">
      <c r="D153" s="33" t="s">
        <v>230</v>
      </c>
      <c r="E153" s="33" t="str">
        <f ca="1">IFERROR(__xludf.DUMMYFUNCTION("""COMPUTED_VALUE"""),"MINERA CIELO AZUL S.A.")</f>
        <v>MINERA CIELO AZUL S.A.</v>
      </c>
    </row>
    <row r="154" spans="4:5">
      <c r="D154" s="33" t="s">
        <v>231</v>
      </c>
      <c r="E154" s="33" t="str">
        <f ca="1">IFERROR(__xludf.DUMMYFUNCTION("""COMPUTED_VALUE"""),"GEN SRL")</f>
        <v>GEN SRL</v>
      </c>
    </row>
    <row r="155" spans="4:5">
      <c r="D155" s="33" t="s">
        <v>232</v>
      </c>
      <c r="E155" s="33" t="str">
        <f ca="1">IFERROR(__xludf.DUMMYFUNCTION("""COMPUTED_VALUE"""),"CIA. CORRAL MINERA INDUSTRIAinduL Y COMERCIAL S.A.")</f>
        <v>CIA. CORRAL MINERA INDUSTRIAinduL Y COMERCIAL S.A.</v>
      </c>
    </row>
    <row r="156" spans="4:5">
      <c r="D156" s="33" t="s">
        <v>233</v>
      </c>
      <c r="E156" s="33" t="str">
        <f ca="1">IFERROR(__xludf.DUMMYFUNCTION("""COMPUTED_VALUE"""),"INVAP S.E.")</f>
        <v>INVAP S.E.</v>
      </c>
    </row>
    <row r="157" spans="4:5">
      <c r="D157" s="33" t="s">
        <v>234</v>
      </c>
      <c r="E157" s="33" t="str">
        <f ca="1">IFERROR(__xludf.DUMMYFUNCTION("""COMPUTED_VALUE"""),"LA ECOLOGICA DEL SUR")</f>
        <v>LA ECOLOGICA DEL SUR</v>
      </c>
    </row>
    <row r="158" spans="4:5">
      <c r="D158" s="33" t="s">
        <v>235</v>
      </c>
      <c r="E158" s="33" t="str">
        <f ca="1">IFERROR(__xludf.DUMMYFUNCTION("""COMPUTED_VALUE"""),"INTEGRAL SERVICIOS-DELIA HERRERA ACEVEDO")</f>
        <v>INTEGRAL SERVICIOS-DELIA HERRERA ACEVEDO</v>
      </c>
    </row>
    <row r="159" spans="4:5">
      <c r="D159" s="33" t="s">
        <v>236</v>
      </c>
      <c r="E159" s="33" t="str">
        <f ca="1">IFERROR(__xludf.DUMMYFUNCTION("""COMPUTED_VALUE"""),"SERVICIOS GEDEON")</f>
        <v>SERVICIOS GEDEON</v>
      </c>
    </row>
    <row r="160" spans="4:5">
      <c r="D160" s="33" t="s">
        <v>237</v>
      </c>
      <c r="E160" s="33" t="str">
        <f ca="1">IFERROR(__xludf.DUMMYFUNCTION("""COMPUTED_VALUE"""),"REAL WORK SRL")</f>
        <v>REAL WORK SRL</v>
      </c>
    </row>
    <row r="161" spans="4:5">
      <c r="D161" s="33" t="s">
        <v>238</v>
      </c>
      <c r="E161" s="33" t="str">
        <f ca="1">IFERROR(__xludf.DUMMYFUNCTION("""COMPUTED_VALUE"""),"SAITT SRL")</f>
        <v>SAITT SRL</v>
      </c>
    </row>
    <row r="162" spans="4:5">
      <c r="D162" s="33" t="s">
        <v>239</v>
      </c>
      <c r="E162" s="33" t="str">
        <f ca="1">IFERROR(__xludf.DUMMYFUNCTION("""COMPUTED_VALUE"""),"MEDANITO S.A.")</f>
        <v>MEDANITO S.A.</v>
      </c>
    </row>
    <row r="163" spans="4:5">
      <c r="D163" s="33" t="s">
        <v>240</v>
      </c>
      <c r="E163" s="33" t="str">
        <f ca="1">IFERROR(__xludf.DUMMYFUNCTION("""COMPUTED_VALUE"""),"YPF LA ROTONDA")</f>
        <v>YPF LA ROTONDA</v>
      </c>
    </row>
    <row r="164" spans="4:5">
      <c r="D164" s="33" t="s">
        <v>241</v>
      </c>
      <c r="E164" s="33" t="str">
        <f ca="1">IFERROR(__xludf.DUMMYFUNCTION("""COMPUTED_VALUE"""),"POZZO ARDIZZI S.A.")</f>
        <v>POZZO ARDIZZI S.A.</v>
      </c>
    </row>
    <row r="165" spans="4:5">
      <c r="D165" s="33" t="s">
        <v>242</v>
      </c>
      <c r="E165" s="33" t="str">
        <f ca="1">IFERROR(__xludf.DUMMYFUNCTION("""COMPUTED_VALUE"""),"LUIS ALONSO Y CIA. SCC")</f>
        <v>LUIS ALONSO Y CIA. SCC</v>
      </c>
    </row>
    <row r="166" spans="4:5">
      <c r="D166" s="33" t="s">
        <v>243</v>
      </c>
      <c r="E166" s="33" t="str">
        <f ca="1">IFERROR(__xludf.DUMMYFUNCTION("""COMPUTED_VALUE"""),"VALLE FULL SRL-ESTACION DE SERVICIOS")</f>
        <v>VALLE FULL SRL-ESTACION DE SERVICIOS</v>
      </c>
    </row>
    <row r="167" spans="4:5">
      <c r="D167" s="33" t="s">
        <v>244</v>
      </c>
      <c r="E167" s="33" t="str">
        <f ca="1">IFERROR(__xludf.DUMMYFUNCTION("""COMPUTED_VALUE"""),"PANISSE OLGA Y ACUÑA SUSANA SH-ESTACION DE SERVICI")</f>
        <v>PANISSE OLGA Y ACUÑA SUSANA SH-ESTACION DE SERVICI</v>
      </c>
    </row>
    <row r="168" spans="4:5">
      <c r="D168" s="33" t="s">
        <v>245</v>
      </c>
      <c r="E168" s="33" t="str">
        <f ca="1">IFERROR(__xludf.DUMMYFUNCTION("""COMPUTED_VALUE"""),"FERNANDO PAWLY SRL-ESTACION DE SERVICIOS")</f>
        <v>FERNANDO PAWLY SRL-ESTACION DE SERVICIOS</v>
      </c>
    </row>
    <row r="169" spans="4:5">
      <c r="D169" s="33" t="s">
        <v>246</v>
      </c>
      <c r="E169" s="33" t="str">
        <f ca="1">IFERROR(__xludf.DUMMYFUNCTION("""COMPUTED_VALUE"""),"ZGAIB DANIEL OSCAR-ESTACION DE SERVCICIOS")</f>
        <v>ZGAIB DANIEL OSCAR-ESTACION DE SERVCICIOS</v>
      </c>
    </row>
    <row r="170" spans="4:5">
      <c r="D170" s="33" t="s">
        <v>247</v>
      </c>
      <c r="E170" s="33" t="str">
        <f ca="1">IFERROR(__xludf.DUMMYFUNCTION("""COMPUTED_VALUE"""),"DI CLERICO HECTOR ARMANDO-ESTACION DE SERVICIOS")</f>
        <v>DI CLERICO HECTOR ARMANDO-ESTACION DE SERVICIOS</v>
      </c>
    </row>
    <row r="171" spans="4:5">
      <c r="D171" s="33" t="s">
        <v>248</v>
      </c>
      <c r="E171" s="33" t="str">
        <f ca="1">IFERROR(__xludf.DUMMYFUNCTION("""COMPUTED_VALUE"""),"MATIAS CALVO SACI - ESTACION DE SERVICIOS")</f>
        <v>MATIAS CALVO SACI - ESTACION DE SERVICIOS</v>
      </c>
    </row>
    <row r="172" spans="4:5">
      <c r="D172" s="33" t="s">
        <v>249</v>
      </c>
      <c r="E172" s="33" t="str">
        <f ca="1">IFERROR(__xludf.DUMMYFUNCTION("""COMPUTED_VALUE"""),"JORGE SANTIAGO COGNIGNI Y JORGE HUGO COGNIGNI SH -")</f>
        <v>JORGE SANTIAGO COGNIGNI Y JORGE HUGO COGNIGNI SH -</v>
      </c>
    </row>
    <row r="173" spans="4:5">
      <c r="D173" s="33" t="s">
        <v>250</v>
      </c>
      <c r="E173" s="33" t="str">
        <f ca="1">IFERROR(__xludf.DUMMYFUNCTION("""COMPUTED_VALUE"""),"PETROSUR SRL")</f>
        <v>PETROSUR SRL</v>
      </c>
    </row>
    <row r="174" spans="4:5">
      <c r="D174" s="33" t="s">
        <v>251</v>
      </c>
      <c r="E174" s="33" t="str">
        <f ca="1">IFERROR(__xludf.DUMMYFUNCTION("""COMPUTED_VALUE"""),"E.S. Río Salado S.R.L.")</f>
        <v>E.S. Río Salado S.R.L.</v>
      </c>
    </row>
    <row r="175" spans="4:5">
      <c r="D175" s="33" t="s">
        <v>252</v>
      </c>
      <c r="E175" s="33" t="str">
        <f ca="1">IFERROR(__xludf.DUMMYFUNCTION("""COMPUTED_VALUE"""),"ESTABLECIMIENTO LA 251 SRL")</f>
        <v>ESTABLECIMIENTO LA 251 SRL</v>
      </c>
    </row>
    <row r="176" spans="4:5">
      <c r="D176" s="33" t="s">
        <v>253</v>
      </c>
      <c r="E176" s="33" t="str">
        <f ca="1">IFERROR(__xludf.DUMMYFUNCTION("""COMPUTED_VALUE"""),"ELOSEGUI HNOS. S.A.")</f>
        <v>ELOSEGUI HNOS. S.A.</v>
      </c>
    </row>
    <row r="177" spans="4:5">
      <c r="D177" s="33" t="s">
        <v>254</v>
      </c>
      <c r="E177" s="33" t="str">
        <f ca="1">IFERROR(__xludf.DUMMYFUNCTION("""COMPUTED_VALUE"""),"YPF S.A.-ESTACION DE SERVICIOS")</f>
        <v>YPF S.A.-ESTACION DE SERVICIOS</v>
      </c>
    </row>
    <row r="178" spans="4:5">
      <c r="D178" s="33" t="s">
        <v>255</v>
      </c>
      <c r="E178" s="33" t="str">
        <f ca="1">IFERROR(__xludf.DUMMYFUNCTION("""COMPUTED_VALUE"""),"CONSTRUCCIONES Y COMERCIO CAMARGO CORREA S.A.")</f>
        <v>CONSTRUCCIONES Y COMERCIO CAMARGO CORREA S.A.</v>
      </c>
    </row>
    <row r="179" spans="4:5">
      <c r="D179" s="33" t="s">
        <v>256</v>
      </c>
      <c r="E179" s="33" t="str">
        <f ca="1">IFERROR(__xludf.DUMMYFUNCTION("""COMPUTED_VALUE"""),"FUNDACIONES ESPECIALES S.A.")</f>
        <v>FUNDACIONES ESPECIALES S.A.</v>
      </c>
    </row>
    <row r="180" spans="4:5">
      <c r="D180" s="33" t="s">
        <v>257</v>
      </c>
      <c r="E180" s="33" t="str">
        <f ca="1">IFERROR(__xludf.DUMMYFUNCTION("""COMPUTED_VALUE"""),"TRANSPORTES HECTOR OMAR MONTESINO")</f>
        <v>TRANSPORTES HECTOR OMAR MONTESINO</v>
      </c>
    </row>
    <row r="181" spans="4:5">
      <c r="D181" s="33" t="s">
        <v>258</v>
      </c>
      <c r="E181" s="33" t="str">
        <f ca="1">IFERROR(__xludf.DUMMYFUNCTION("""COMPUTED_VALUE"""),"TRANSPORTES PONCE")</f>
        <v>TRANSPORTES PONCE</v>
      </c>
    </row>
    <row r="182" spans="4:5">
      <c r="D182" s="33" t="s">
        <v>259</v>
      </c>
      <c r="E182" s="33" t="str">
        <f ca="1">IFERROR(__xludf.DUMMYFUNCTION("""COMPUTED_VALUE"""),"TRANSPORTES LOS CUATRO HERMANOS")</f>
        <v>TRANSPORTES LOS CUATRO HERMANOS</v>
      </c>
    </row>
    <row r="183" spans="4:5">
      <c r="D183" s="33" t="s">
        <v>260</v>
      </c>
      <c r="E183" s="33" t="str">
        <f ca="1">IFERROR(__xludf.DUMMYFUNCTION("""COMPUTED_VALUE"""),"KIOSHI S.A.")</f>
        <v>KIOSHI S.A.</v>
      </c>
    </row>
    <row r="184" spans="4:5">
      <c r="D184" s="33" t="s">
        <v>261</v>
      </c>
      <c r="E184" s="33" t="str">
        <f ca="1">IFERROR(__xludf.DUMMYFUNCTION("""COMPUTED_VALUE"""),"TI SE SERVICIOS SRL")</f>
        <v>TI SE SERVICIOS SRL</v>
      </c>
    </row>
    <row r="185" spans="4:5">
      <c r="D185" s="33" t="s">
        <v>262</v>
      </c>
      <c r="E185" s="33" t="str">
        <f ca="1">IFERROR(__xludf.DUMMYFUNCTION("""COMPUTED_VALUE"""),"ZILLE SRL")</f>
        <v>ZILLE SRL</v>
      </c>
    </row>
    <row r="186" spans="4:5">
      <c r="D186" s="33" t="s">
        <v>263</v>
      </c>
      <c r="E186" s="33" t="str">
        <f ca="1">IFERROR(__xludf.DUMMYFUNCTION("""COMPUTED_VALUE"""),"GRUPO ISOLUX CORSAN S.A.")</f>
        <v>GRUPO ISOLUX CORSAN S.A.</v>
      </c>
    </row>
    <row r="187" spans="4:5">
      <c r="D187" s="33" t="s">
        <v>264</v>
      </c>
      <c r="E187" s="33" t="str">
        <f ca="1">IFERROR(__xludf.DUMMYFUNCTION("""COMPUTED_VALUE"""),"HIPARSA (EN LIQUIDACION)")</f>
        <v>HIPARSA (EN LIQUIDACION)</v>
      </c>
    </row>
    <row r="188" spans="4:5">
      <c r="D188" s="33" t="s">
        <v>265</v>
      </c>
      <c r="E188" s="33" t="str">
        <f ca="1">IFERROR(__xludf.DUMMYFUNCTION("""COMPUTED_VALUE"""),"PETROLTEC RIONEGRINA S.A.")</f>
        <v>PETROLTEC RIONEGRINA S.A.</v>
      </c>
    </row>
    <row r="189" spans="4:5">
      <c r="D189" s="33" t="s">
        <v>266</v>
      </c>
      <c r="E189" s="33" t="str">
        <f ca="1">IFERROR(__xludf.DUMMYFUNCTION("""COMPUTED_VALUE"""),"SEGAR S.A.M.I y C")</f>
        <v>SEGAR S.A.M.I y C</v>
      </c>
    </row>
    <row r="190" spans="4:5">
      <c r="D190" s="33" t="s">
        <v>267</v>
      </c>
      <c r="E190" s="33" t="str">
        <f ca="1">IFERROR(__xludf.DUMMYFUNCTION("""COMPUTED_VALUE"""),"FERRERE E HIJOS SRL")</f>
        <v>FERRERE E HIJOS SRL</v>
      </c>
    </row>
    <row r="191" spans="4:5">
      <c r="D191" s="33" t="s">
        <v>268</v>
      </c>
      <c r="E191" s="33" t="str">
        <f ca="1">IFERROR(__xludf.DUMMYFUNCTION("""COMPUTED_VALUE"""),"OPS S.A.C.I")</f>
        <v>OPS S.A.C.I</v>
      </c>
    </row>
    <row r="192" spans="4:5">
      <c r="D192" s="33" t="s">
        <v>269</v>
      </c>
      <c r="E192" s="33" t="str">
        <f ca="1">IFERROR(__xludf.DUMMYFUNCTION("""COMPUTED_VALUE"""),"ERM ARGENTINA S.A.")</f>
        <v>ERM ARGENTINA S.A.</v>
      </c>
    </row>
    <row r="193" spans="4:5">
      <c r="D193" s="33" t="s">
        <v>270</v>
      </c>
      <c r="E193" s="33" t="str">
        <f ca="1">IFERROR(__xludf.DUMMYFUNCTION("""COMPUTED_VALUE"""),"SMITH INTERNATIONAL INC S.A.")</f>
        <v>SMITH INTERNATIONAL INC S.A.</v>
      </c>
    </row>
    <row r="194" spans="4:5">
      <c r="D194" s="33" t="s">
        <v>271</v>
      </c>
      <c r="E194" s="33" t="str">
        <f ca="1">IFERROR(__xludf.DUMMYFUNCTION("""COMPUTED_VALUE"""),"THALES SRL")</f>
        <v>THALES SRL</v>
      </c>
    </row>
    <row r="195" spans="4:5">
      <c r="D195" s="33" t="s">
        <v>272</v>
      </c>
      <c r="E195" s="33" t="str">
        <f ca="1">IFERROR(__xludf.DUMMYFUNCTION("""COMPUTED_VALUE"""),"CENTRAL TERMICA ROCA S.A.")</f>
        <v>CENTRAL TERMICA ROCA S.A.</v>
      </c>
    </row>
    <row r="196" spans="4:5">
      <c r="D196" s="33" t="s">
        <v>273</v>
      </c>
      <c r="E196" s="33" t="str">
        <f ca="1">IFERROR(__xludf.DUMMYFUNCTION("""COMPUTED_VALUE"""),"HERSO S.A.")</f>
        <v>HERSO S.A.</v>
      </c>
    </row>
    <row r="197" spans="4:5">
      <c r="D197" s="33" t="s">
        <v>274</v>
      </c>
      <c r="E197" s="33" t="str">
        <f ca="1">IFERROR(__xludf.DUMMYFUNCTION("""COMPUTED_VALUE"""),"SOENERGY S.A")</f>
        <v>SOENERGY S.A</v>
      </c>
    </row>
    <row r="198" spans="4:5">
      <c r="D198" s="33" t="s">
        <v>275</v>
      </c>
      <c r="E198" s="33" t="str">
        <f ca="1">IFERROR(__xludf.DUMMYFUNCTION("""COMPUTED_VALUE"""),"BUFFALO SERVICIOS")</f>
        <v>BUFFALO SERVICIOS</v>
      </c>
    </row>
    <row r="199" spans="4:5">
      <c r="D199" s="33" t="s">
        <v>276</v>
      </c>
      <c r="E199" s="33" t="str">
        <f ca="1">IFERROR(__xludf.DUMMYFUNCTION("""COMPUTED_VALUE"""),"JORGE SEBASTIAN PAEZ")</f>
        <v>JORGE SEBASTIAN PAEZ</v>
      </c>
    </row>
    <row r="200" spans="4:5">
      <c r="D200" s="33" t="s">
        <v>277</v>
      </c>
      <c r="E200" s="33" t="str">
        <f ca="1">IFERROR(__xludf.DUMMYFUNCTION("""COMPUTED_VALUE"""),"CONTENEDORES MORANDI SRL")</f>
        <v>CONTENEDORES MORANDI SRL</v>
      </c>
    </row>
    <row r="201" spans="4:5">
      <c r="D201" s="33" t="s">
        <v>278</v>
      </c>
      <c r="E201" s="33" t="str">
        <f ca="1">IFERROR(__xludf.DUMMYFUNCTION("""COMPUTED_VALUE"""),"CARRAHA CLAUDIO ARIEL")</f>
        <v>CARRAHA CLAUDIO ARIEL</v>
      </c>
    </row>
    <row r="202" spans="4:5">
      <c r="D202" s="33" t="s">
        <v>279</v>
      </c>
      <c r="E202" s="33" t="str">
        <f ca="1">IFERROR(__xludf.DUMMYFUNCTION("""COMPUTED_VALUE"""),"NALCO ARGENTINA SRL")</f>
        <v>NALCO ARGENTINA SRL</v>
      </c>
    </row>
    <row r="203" spans="4:5">
      <c r="D203" s="33" t="s">
        <v>280</v>
      </c>
      <c r="E203" s="33" t="str">
        <f ca="1">IFERROR(__xludf.DUMMYFUNCTION("""COMPUTED_VALUE"""),"PETROQUIMICA COMODORO RIVADAVIA S.A.")</f>
        <v>PETROQUIMICA COMODORO RIVADAVIA S.A.</v>
      </c>
    </row>
    <row r="204" spans="4:5">
      <c r="D204" s="33" t="s">
        <v>281</v>
      </c>
      <c r="E204" s="33" t="str">
        <f ca="1">IFERROR(__xludf.DUMMYFUNCTION("""COMPUTED_VALUE"""),"LA CAMPAGNOLA SACI")</f>
        <v>LA CAMPAGNOLA SACI</v>
      </c>
    </row>
    <row r="205" spans="4:5">
      <c r="D205" s="33" t="s">
        <v>282</v>
      </c>
      <c r="E205" s="33" t="str">
        <f ca="1">IFERROR(__xludf.DUMMYFUNCTION("""COMPUTED_VALUE"""),"TRANSPORTE FERRA S.A.")</f>
        <v>TRANSPORTE FERRA S.A.</v>
      </c>
    </row>
    <row r="206" spans="4:5">
      <c r="D206" s="33" t="s">
        <v>283</v>
      </c>
      <c r="E206" s="33" t="str">
        <f ca="1">IFERROR(__xludf.DUMMYFUNCTION("""COMPUTED_VALUE"""),"CALFRAC WELL SERVICES ARGENTINA S.A.")</f>
        <v>CALFRAC WELL SERVICES ARGENTINA S.A.</v>
      </c>
    </row>
    <row r="207" spans="4:5">
      <c r="D207" s="33" t="s">
        <v>284</v>
      </c>
      <c r="E207" s="33" t="str">
        <f ca="1">IFERROR(__xludf.DUMMYFUNCTION("""COMPUTED_VALUE"""),"PETROLIFERA PETROLEUM (AMERICAS) LIMITED SUC. ARG")</f>
        <v>PETROLIFERA PETROLEUM (AMERICAS) LIMITED SUC. ARG</v>
      </c>
    </row>
    <row r="208" spans="4:5">
      <c r="D208" s="33" t="s">
        <v>285</v>
      </c>
      <c r="E208" s="33" t="str">
        <f ca="1">IFERROR(__xludf.DUMMYFUNCTION("""COMPUTED_VALUE"""),"COMISION NACIONAL DE ENERGIA ATOMICA")</f>
        <v>COMISION NACIONAL DE ENERGIA ATOMICA</v>
      </c>
    </row>
    <row r="209" spans="4:5">
      <c r="D209" s="33" t="s">
        <v>286</v>
      </c>
      <c r="E209" s="33" t="str">
        <f ca="1">IFERROR(__xludf.DUMMYFUNCTION("""COMPUTED_VALUE"""),"CIATI A.C.")</f>
        <v>CIATI A.C.</v>
      </c>
    </row>
    <row r="210" spans="4:5">
      <c r="D210" s="33" t="s">
        <v>287</v>
      </c>
      <c r="E210" s="33" t="str">
        <f ca="1">IFERROR(__xludf.DUMMYFUNCTION("""COMPUTED_VALUE"""),"QUIMIGUAY S.A.")</f>
        <v>QUIMIGUAY S.A.</v>
      </c>
    </row>
    <row r="211" spans="4:5">
      <c r="D211" s="33" t="s">
        <v>288</v>
      </c>
      <c r="E211" s="33" t="str">
        <f ca="1">IFERROR(__xludf.DUMMYFUNCTION("""COMPUTED_VALUE"""),"SERPA")</f>
        <v>SERPA</v>
      </c>
    </row>
    <row r="212" spans="4:5">
      <c r="D212" s="33" t="s">
        <v>289</v>
      </c>
      <c r="E212" s="33" t="str">
        <f ca="1">IFERROR(__xludf.DUMMYFUNCTION("""COMPUTED_VALUE"""),"SAN DIEGO S.R.L")</f>
        <v>SAN DIEGO S.R.L</v>
      </c>
    </row>
    <row r="213" spans="4:5">
      <c r="D213" s="33" t="s">
        <v>290</v>
      </c>
      <c r="E213" s="33" t="str">
        <f ca="1">IFERROR(__xludf.DUMMYFUNCTION("""COMPUTED_VALUE"""),"DEINOS S.R.L.")</f>
        <v>DEINOS S.R.L.</v>
      </c>
    </row>
    <row r="214" spans="4:5">
      <c r="D214" s="33" t="s">
        <v>291</v>
      </c>
      <c r="E214" s="33" t="str">
        <f ca="1">IFERROR(__xludf.DUMMYFUNCTION("""COMPUTED_VALUE"""),"CONSTRUMIN S.R.L")</f>
        <v>CONSTRUMIN S.R.L</v>
      </c>
    </row>
    <row r="215" spans="4:5">
      <c r="D215" s="33" t="s">
        <v>292</v>
      </c>
      <c r="E215" s="33" t="str">
        <f ca="1">IFERROR(__xludf.DUMMYFUNCTION("""COMPUTED_VALUE"""),"BALLOTAGE SRL")</f>
        <v>BALLOTAGE SRL</v>
      </c>
    </row>
    <row r="216" spans="4:5">
      <c r="D216" s="33" t="s">
        <v>293</v>
      </c>
      <c r="E216" s="33" t="str">
        <f ca="1">IFERROR(__xludf.DUMMYFUNCTION("""COMPUTED_VALUE"""),"COMISION NACIONAL DE ENERGIA (CNEA)")</f>
        <v>COMISION NACIONAL DE ENERGIA (CNEA)</v>
      </c>
    </row>
    <row r="217" spans="4:5">
      <c r="D217" s="33" t="s">
        <v>294</v>
      </c>
      <c r="E217" s="33" t="str">
        <f ca="1">IFERROR(__xludf.DUMMYFUNCTION("""COMPUTED_VALUE"""),"EZEQUIEL WALTER SILVA")</f>
        <v>EZEQUIEL WALTER SILVA</v>
      </c>
    </row>
    <row r="218" spans="4:5">
      <c r="D218" s="33" t="s">
        <v>295</v>
      </c>
      <c r="E218" s="33" t="str">
        <f ca="1">IFERROR(__xludf.DUMMYFUNCTION("""COMPUTED_VALUE"""),"EZEQUIEL WALTER SILVA (EWS)")</f>
        <v>EZEQUIEL WALTER SILVA (EWS)</v>
      </c>
    </row>
    <row r="219" spans="4:5">
      <c r="D219" s="33" t="s">
        <v>296</v>
      </c>
      <c r="E219" s="33" t="str">
        <f ca="1">IFERROR(__xludf.DUMMYFUNCTION("""COMPUTED_VALUE"""),"CLEAN WORLD RL")</f>
        <v>CLEAN WORLD RL</v>
      </c>
    </row>
    <row r="220" spans="4:5">
      <c r="D220" s="33" t="s">
        <v>297</v>
      </c>
      <c r="E220" s="33" t="str">
        <f ca="1">IFERROR(__xludf.DUMMYFUNCTION("""COMPUTED_VALUE"""),"GEOTE")</f>
        <v>GEOTE</v>
      </c>
    </row>
    <row r="221" spans="4:5">
      <c r="D221" s="33" t="s">
        <v>298</v>
      </c>
      <c r="E221" s="33" t="str">
        <f ca="1">IFERROR(__xludf.DUMMYFUNCTION("""COMPUTED_VALUE"""),"TRANSPETRONE S.A")</f>
        <v>TRANSPETRONE S.A</v>
      </c>
    </row>
    <row r="222" spans="4:5">
      <c r="D222" s="33" t="s">
        <v>299</v>
      </c>
      <c r="E222" s="33" t="str">
        <f ca="1">IFERROR(__xludf.DUMMYFUNCTION("""COMPUTED_VALUE"""),"E.S. LA PLAZA S.A.")</f>
        <v>E.S. LA PLAZA S.A.</v>
      </c>
    </row>
    <row r="223" spans="4:5">
      <c r="D223" s="33" t="s">
        <v>300</v>
      </c>
      <c r="E223" s="33" t="str">
        <f ca="1">IFERROR(__xludf.DUMMYFUNCTION("""COMPUTED_VALUE"""),"GRUPO FERNANDEZ S.R.L.")</f>
        <v>GRUPO FERNANDEZ S.R.L.</v>
      </c>
    </row>
    <row r="224" spans="4:5">
      <c r="D224" s="33" t="s">
        <v>301</v>
      </c>
      <c r="E224" s="33" t="str">
        <f ca="1">IFERROR(__xludf.DUMMYFUNCTION("""COMPUTED_VALUE"""),"E.S. LA PLAZA   AV. LA PLATA 14 GRAL. R.")</f>
        <v>E.S. LA PLAZA   AV. LA PLATA 14 GRAL. R.</v>
      </c>
    </row>
    <row r="225" spans="4:5">
      <c r="D225" s="33" t="s">
        <v>302</v>
      </c>
      <c r="E225" s="33" t="str">
        <f ca="1">IFERROR(__xludf.DUMMYFUNCTION("""COMPUTED_VALUE"""),"E.S. LA PLAZA   AV. ROCA 31 GRAL. R.")</f>
        <v>E.S. LA PLAZA   AV. ROCA 31 GRAL. R.</v>
      </c>
    </row>
    <row r="226" spans="4:5">
      <c r="D226" s="33" t="s">
        <v>303</v>
      </c>
      <c r="E226" s="33" t="str">
        <f ca="1">IFERROR(__xludf.DUMMYFUNCTION("""COMPUTED_VALUE"""),"E.S. LA PLAZA AV. RIVADAVIA 57 VILLA REGI")</f>
        <v>E.S. LA PLAZA AV. RIVADAVIA 57 VILLA REGI</v>
      </c>
    </row>
    <row r="227" spans="4:5">
      <c r="D227" s="33" t="s">
        <v>304</v>
      </c>
      <c r="E227" s="33" t="str">
        <f ca="1">IFERROR(__xludf.DUMMYFUNCTION("""COMPUTED_VALUE"""),"PLANOBRA S.A.")</f>
        <v>PLANOBRA S.A.</v>
      </c>
    </row>
    <row r="228" spans="4:5">
      <c r="D228" s="33" t="s">
        <v>305</v>
      </c>
      <c r="E228" s="33" t="str">
        <f ca="1">IFERROR(__xludf.DUMMYFUNCTION("""COMPUTED_VALUE"""),"TP OIL AND SERVICES S.A.")</f>
        <v>TP OIL AND SERVICES S.A.</v>
      </c>
    </row>
    <row r="229" spans="4:5">
      <c r="D229" s="33" t="s">
        <v>306</v>
      </c>
      <c r="E229" s="33" t="str">
        <f ca="1">IFERROR(__xludf.DUMMYFUNCTION("""COMPUTED_VALUE"""),"OTAMENDI Y CIA SRL")</f>
        <v>OTAMENDI Y CIA SRL</v>
      </c>
    </row>
    <row r="230" spans="4:5">
      <c r="D230" s="33" t="s">
        <v>307</v>
      </c>
      <c r="E230" s="33" t="str">
        <f ca="1">IFERROR(__xludf.DUMMYFUNCTION("""COMPUTED_VALUE"""),"CERVECERIA Y MALTERIA QUILMES S.A.I.C.A. Y G.")</f>
        <v>CERVECERIA Y MALTERIA QUILMES S.A.I.C.A. Y G.</v>
      </c>
    </row>
    <row r="231" spans="4:5">
      <c r="D231" s="33" t="s">
        <v>308</v>
      </c>
      <c r="E231" s="33" t="str">
        <f ca="1">IFERROR(__xludf.DUMMYFUNCTION("""COMPUTED_VALUE"""),"E.S. REFI PAMPA")</f>
        <v>E.S. REFI PAMPA</v>
      </c>
    </row>
    <row r="232" spans="4:5">
      <c r="D232" s="33" t="s">
        <v>309</v>
      </c>
      <c r="E232" s="33" t="str">
        <f ca="1">IFERROR(__xludf.DUMMYFUNCTION("""COMPUTED_VALUE"""),"ENVIROCONTROL S.A.")</f>
        <v>ENVIROCONTROL S.A.</v>
      </c>
    </row>
    <row r="233" spans="4:5">
      <c r="D233" s="33" t="s">
        <v>310</v>
      </c>
      <c r="E233" s="33" t="str">
        <f ca="1">IFERROR(__xludf.DUMMYFUNCTION("""COMPUTED_VALUE"""),"INDUSLAB SRL")</f>
        <v>INDUSLAB SRL</v>
      </c>
    </row>
    <row r="234" spans="4:5">
      <c r="D234" s="33" t="s">
        <v>311</v>
      </c>
      <c r="E234" s="33" t="str">
        <f ca="1">IFERROR(__xludf.DUMMYFUNCTION("""COMPUTED_VALUE"""),"EDUARDO EVANGELISTA - SHELL")</f>
        <v>EDUARDO EVANGELISTA - SHELL</v>
      </c>
    </row>
    <row r="235" spans="4:5">
      <c r="D235" s="33" t="s">
        <v>312</v>
      </c>
      <c r="E235" s="33" t="str">
        <f ca="1">IFERROR(__xludf.DUMMYFUNCTION("""COMPUTED_VALUE"""),"TECPETROL S.A.")</f>
        <v>TECPETROL S.A.</v>
      </c>
    </row>
    <row r="236" spans="4:5">
      <c r="D236" s="33" t="s">
        <v>313</v>
      </c>
      <c r="E236" s="33" t="str">
        <f ca="1">IFERROR(__xludf.DUMMYFUNCTION("""COMPUTED_VALUE"""),"DIR. NACIONAL DE VIALIDAD DISTRIT 20° RN")</f>
        <v>DIR. NACIONAL DE VIALIDAD DISTRIT 20° RN</v>
      </c>
    </row>
    <row r="237" spans="4:5">
      <c r="D237" s="33" t="s">
        <v>314</v>
      </c>
      <c r="E237" s="33" t="str">
        <f ca="1">IFERROR(__xludf.DUMMYFUNCTION("""COMPUTED_VALUE"""),"COMPAÑÍA MEGA S.A.")</f>
        <v>COMPAÑÍA MEGA S.A.</v>
      </c>
    </row>
    <row r="238" spans="4:5">
      <c r="D238" s="33" t="s">
        <v>315</v>
      </c>
      <c r="E238" s="33" t="str">
        <f ca="1">IFERROR(__xludf.DUMMYFUNCTION("""COMPUTED_VALUE"""),"WALMART ARGENTINA SRL")</f>
        <v>WALMART ARGENTINA SRL</v>
      </c>
    </row>
    <row r="239" spans="4:5">
      <c r="D239" s="33" t="s">
        <v>316</v>
      </c>
      <c r="E239" s="33" t="str">
        <f ca="1">IFERROR(__xludf.DUMMYFUNCTION("""COMPUTED_VALUE"""),"PRODUEXPORT S.A.")</f>
        <v>PRODUEXPORT S.A.</v>
      </c>
    </row>
    <row r="240" spans="4:5">
      <c r="D240" s="33" t="s">
        <v>317</v>
      </c>
      <c r="E240" s="33" t="str">
        <f ca="1">IFERROR(__xludf.DUMMYFUNCTION("""COMPUTED_VALUE"""),"E.S. OPESSA-OPERADORA  ESTACIONES  SERVICIO")</f>
        <v>E.S. OPESSA-OPERADORA  ESTACIONES  SERVICIO</v>
      </c>
    </row>
    <row r="241" spans="4:5">
      <c r="D241" s="33" t="s">
        <v>318</v>
      </c>
      <c r="E241" s="33" t="str">
        <f ca="1">IFERROR(__xludf.DUMMYFUNCTION("""COMPUTED_VALUE"""),"E.S. VILLARREAL OSVALDO Y AURORA S.H.")</f>
        <v>E.S. VILLARREAL OSVALDO Y AURORA S.H.</v>
      </c>
    </row>
    <row r="242" spans="4:5">
      <c r="D242" s="33" t="s">
        <v>319</v>
      </c>
      <c r="E242" s="33" t="str">
        <f ca="1">IFERROR(__xludf.DUMMYFUNCTION("""COMPUTED_VALUE"""),"CHITCHIAN S.A. SIGLO XXI")</f>
        <v>CHITCHIAN S.A. SIGLO XXI</v>
      </c>
    </row>
    <row r="243" spans="4:5">
      <c r="D243" s="33" t="s">
        <v>320</v>
      </c>
      <c r="E243" s="33" t="str">
        <f ca="1">IFERROR(__xludf.DUMMYFUNCTION("""COMPUTED_VALUE"""),"CHITCHIAN S.A. MELIPAL")</f>
        <v>CHITCHIAN S.A. MELIPAL</v>
      </c>
    </row>
    <row r="244" spans="4:5">
      <c r="D244" s="33" t="s">
        <v>321</v>
      </c>
      <c r="E244" s="33" t="str">
        <f ca="1">IFERROR(__xludf.DUMMYFUNCTION("""COMPUTED_VALUE"""),"E.S. TECNO VALLE SRL")</f>
        <v>E.S. TECNO VALLE SRL</v>
      </c>
    </row>
    <row r="245" spans="4:5">
      <c r="D245" s="33" t="s">
        <v>322</v>
      </c>
      <c r="E245" s="33" t="str">
        <f ca="1">IFERROR(__xludf.DUMMYFUNCTION("""COMPUTED_VALUE"""),"E.S. GUSTAVO JULIAN Y MIGUEL ANGEL ZUAIN S.H")</f>
        <v>E.S. GUSTAVO JULIAN Y MIGUEL ANGEL ZUAIN S.H</v>
      </c>
    </row>
    <row r="246" spans="4:5">
      <c r="D246" s="33" t="s">
        <v>323</v>
      </c>
      <c r="E246" s="33" t="str">
        <f ca="1">IFERROR(__xludf.DUMMYFUNCTION("""COMPUTED_VALUE"""),"LUCIANO S.A.")</f>
        <v>LUCIANO S.A.</v>
      </c>
    </row>
    <row r="247" spans="4:5">
      <c r="D247" s="33" t="s">
        <v>324</v>
      </c>
      <c r="E247" s="33" t="str">
        <f ca="1">IFERROR(__xludf.DUMMYFUNCTION("""COMPUTED_VALUE"""),"SUCESIÓN ARUANNO TAUL ENRRIQUE Y SALERNO ENRRIQUE")</f>
        <v>SUCESIÓN ARUANNO TAUL ENRRIQUE Y SALERNO ENRRIQUE</v>
      </c>
    </row>
    <row r="248" spans="4:5">
      <c r="D248" s="33" t="s">
        <v>325</v>
      </c>
      <c r="E248" s="33" t="str">
        <f ca="1">IFERROR(__xludf.DUMMYFUNCTION("""COMPUTED_VALUE"""),"E.S. LA PICASA")</f>
        <v>E.S. LA PICASA</v>
      </c>
    </row>
    <row r="249" spans="4:5">
      <c r="D249" s="33" t="s">
        <v>326</v>
      </c>
      <c r="E249" s="33" t="str">
        <f ca="1">IFERROR(__xludf.DUMMYFUNCTION("""COMPUTED_VALUE"""),"E.S. LA PICASA S.A. (CIPOLLETTI)")</f>
        <v>E.S. LA PICASA S.A. (CIPOLLETTI)</v>
      </c>
    </row>
    <row r="250" spans="4:5">
      <c r="D250" s="33" t="s">
        <v>327</v>
      </c>
      <c r="E250" s="33" t="str">
        <f ca="1">IFERROR(__xludf.DUMMYFUNCTION("""COMPUTED_VALUE"""),"E.S.GLOBAL OIL SRL")</f>
        <v>E.S.GLOBAL OIL SRL</v>
      </c>
    </row>
    <row r="251" spans="4:5">
      <c r="D251" s="33" t="s">
        <v>328</v>
      </c>
      <c r="E251" s="33" t="str">
        <f ca="1">IFERROR(__xludf.DUMMYFUNCTION("""COMPUTED_VALUE"""),"E.S. SUCESIÓN ARUANNO RAUL Y SALERNO ENRRIQUE")</f>
        <v>E.S. SUCESIÓN ARUANNO RAUL Y SALERNO ENRRIQUE</v>
      </c>
    </row>
    <row r="252" spans="4:5">
      <c r="D252" s="33" t="s">
        <v>329</v>
      </c>
      <c r="E252" s="33" t="str">
        <f ca="1">IFERROR(__xludf.DUMMYFUNCTION("""COMPUTED_VALUE"""),"E.S. FIDANZA HERMANOS SH")</f>
        <v>E.S. FIDANZA HERMANOS SH</v>
      </c>
    </row>
    <row r="253" spans="4:5">
      <c r="D253" s="33" t="s">
        <v>330</v>
      </c>
      <c r="E253" s="33" t="str">
        <f ca="1">IFERROR(__xludf.DUMMYFUNCTION("""COMPUTED_VALUE"""),"EDHIPSA")</f>
        <v>EDHIPSA</v>
      </c>
    </row>
    <row r="254" spans="4:5">
      <c r="D254" s="33" t="s">
        <v>331</v>
      </c>
      <c r="E254" s="33" t="str">
        <f ca="1">IFERROR(__xludf.DUMMYFUNCTION("""COMPUTED_VALUE"""),"AXION ENERGY SOLUCIONES ARGENTINA S.A.")</f>
        <v>AXION ENERGY SOLUCIONES ARGENTINA S.A.</v>
      </c>
    </row>
    <row r="255" spans="4:5">
      <c r="D255" s="33" t="s">
        <v>332</v>
      </c>
      <c r="E255" s="33" t="str">
        <f ca="1">IFERROR(__xludf.DUMMYFUNCTION("""COMPUTED_VALUE"""),"CATEDRAL ALTA PATAGONIA S.A.")</f>
        <v>CATEDRAL ALTA PATAGONIA S.A.</v>
      </c>
    </row>
    <row r="256" spans="4:5">
      <c r="D256" s="33" t="s">
        <v>333</v>
      </c>
      <c r="E256" s="33" t="str">
        <f ca="1">IFERROR(__xludf.DUMMYFUNCTION("""COMPUTED_VALUE"""),"PETROLERA SAN ANDRES SRL")</f>
        <v>PETROLERA SAN ANDRES SRL</v>
      </c>
    </row>
    <row r="257" spans="4:5">
      <c r="D257" s="33" t="s">
        <v>334</v>
      </c>
      <c r="E257" s="33" t="str">
        <f ca="1">IFERROR(__xludf.DUMMYFUNCTION("""COMPUTED_VALUE"""),"TAYM S.A.")</f>
        <v>TAYM S.A.</v>
      </c>
    </row>
    <row r="258" spans="4:5">
      <c r="D258" s="33" t="s">
        <v>335</v>
      </c>
      <c r="E258" s="33" t="str">
        <f ca="1">IFERROR(__xludf.DUMMYFUNCTION("""COMPUTED_VALUE"""),"EL REENCUENTRO SRL")</f>
        <v>EL REENCUENTRO SRL</v>
      </c>
    </row>
    <row r="259" spans="4:5">
      <c r="D259" s="33" t="s">
        <v>336</v>
      </c>
      <c r="E259" s="33" t="str">
        <f ca="1">IFERROR(__xludf.DUMMYFUNCTION("""COMPUTED_VALUE"""),"SAOCOMB S.A")</f>
        <v>SAOCOMB S.A</v>
      </c>
    </row>
    <row r="260" spans="4:5">
      <c r="D260" s="33" t="s">
        <v>337</v>
      </c>
      <c r="E260" s="33" t="str">
        <f ca="1">IFERROR(__xludf.DUMMYFUNCTION("""COMPUTED_VALUE"""),"TREG")</f>
        <v>TREG</v>
      </c>
    </row>
    <row r="261" spans="4:5">
      <c r="D261" s="33" t="s">
        <v>338</v>
      </c>
      <c r="E261" s="33" t="str">
        <f ca="1">IFERROR(__xludf.DUMMYFUNCTION("""COMPUTED_VALUE"""),"TBQ S.A.")</f>
        <v>TBQ S.A.</v>
      </c>
    </row>
    <row r="262" spans="4:5">
      <c r="D262" s="33" t="s">
        <v>339</v>
      </c>
      <c r="E262" s="33" t="str">
        <f ca="1">IFERROR(__xludf.DUMMYFUNCTION("""COMPUTED_VALUE"""),"DI LUCA EXCAVACIONES SRL")</f>
        <v>DI LUCA EXCAVACIONES SRL</v>
      </c>
    </row>
    <row r="263" spans="4:5">
      <c r="D263" s="33" t="s">
        <v>340</v>
      </c>
      <c r="E263" s="33" t="str">
        <f ca="1">IFERROR(__xludf.DUMMYFUNCTION("""COMPUTED_VALUE"""),"SL GROUP REPRESENTACIONES Y SERVICIOS SRL")</f>
        <v>SL GROUP REPRESENTACIONES Y SERVICIOS SRL</v>
      </c>
    </row>
    <row r="264" spans="4:5">
      <c r="D264" s="33" t="s">
        <v>341</v>
      </c>
      <c r="E264" s="33" t="str">
        <f ca="1">IFERROR(__xludf.DUMMYFUNCTION("""COMPUTED_VALUE"""),"A - EVANGELISTA S.A")</f>
        <v>A - EVANGELISTA S.A</v>
      </c>
    </row>
    <row r="265" spans="4:5">
      <c r="D265" s="33" t="s">
        <v>342</v>
      </c>
      <c r="E265" s="33" t="str">
        <f ca="1">IFERROR(__xludf.DUMMYFUNCTION("""COMPUTED_VALUE"""),"MUNICIPALIDAD DE SAN ANTONIO OESTE")</f>
        <v>MUNICIPALIDAD DE SAN ANTONIO OESTE</v>
      </c>
    </row>
    <row r="266" spans="4:5">
      <c r="D266" s="33" t="s">
        <v>343</v>
      </c>
      <c r="E266" s="33" t="str">
        <f ca="1">IFERROR(__xludf.DUMMYFUNCTION("""COMPUTED_VALUE"""),"FERNANDEZ EDGARDO ALEJANDRO")</f>
        <v>FERNANDEZ EDGARDO ALEJANDRO</v>
      </c>
    </row>
    <row r="267" spans="4:5">
      <c r="D267" s="33" t="s">
        <v>344</v>
      </c>
      <c r="E267" s="33" t="str">
        <f ca="1">IFERROR(__xludf.DUMMYFUNCTION("""COMPUTED_VALUE"""),"CPC S.A CN SAPAG S.A.C.C.F.I.I y E UTE")</f>
        <v>CPC S.A CN SAPAG S.A.C.C.F.I.I y E UTE</v>
      </c>
    </row>
    <row r="268" spans="4:5">
      <c r="D268" s="33" t="s">
        <v>345</v>
      </c>
      <c r="E268" s="33" t="str">
        <f ca="1">IFERROR(__xludf.DUMMYFUNCTION("""COMPUTED_VALUE"""),"PEIRANO HERMANOS")</f>
        <v>PEIRANO HERMANOS</v>
      </c>
    </row>
    <row r="269" spans="4:5">
      <c r="D269" s="33" t="s">
        <v>346</v>
      </c>
      <c r="E269" s="33" t="str">
        <f ca="1">IFERROR(__xludf.DUMMYFUNCTION("""COMPUTED_VALUE"""),"HALLIBURTON ARGENTINA S.R.L")</f>
        <v>HALLIBURTON ARGENTINA S.R.L</v>
      </c>
    </row>
    <row r="270" spans="4:5">
      <c r="D270" s="33" t="s">
        <v>347</v>
      </c>
      <c r="E270" s="33" t="str">
        <f ca="1">IFERROR(__xludf.DUMMYFUNCTION("""COMPUTED_VALUE"""),"ATLANTICO AZUL S.A")</f>
        <v>ATLANTICO AZUL S.A</v>
      </c>
    </row>
    <row r="271" spans="4:5">
      <c r="D271" s="33" t="s">
        <v>348</v>
      </c>
      <c r="E271" s="33" t="str">
        <f ca="1">IFERROR(__xludf.DUMMYFUNCTION("""COMPUTED_VALUE"""),"AMULEM S.A.")</f>
        <v>AMULEM S.A.</v>
      </c>
    </row>
    <row r="272" spans="4:5">
      <c r="D272" s="33" t="s">
        <v>349</v>
      </c>
      <c r="E272" s="33" t="str">
        <f ca="1">IFERROR(__xludf.DUMMYFUNCTION("""COMPUTED_VALUE"""),"LA ROTONDA S.R.L.")</f>
        <v>LA ROTONDA S.R.L.</v>
      </c>
    </row>
    <row r="273" spans="4:5">
      <c r="D273" s="33" t="s">
        <v>350</v>
      </c>
      <c r="E273" s="33" t="str">
        <f ca="1">IFERROR(__xludf.DUMMYFUNCTION("""COMPUTED_VALUE"""),"YPF S.A.  AEROPLANTAS")</f>
        <v>YPF S.A.  AEROPLANTAS</v>
      </c>
    </row>
    <row r="274" spans="4:5">
      <c r="D274" s="33" t="s">
        <v>351</v>
      </c>
      <c r="E274" s="33" t="str">
        <f ca="1">IFERROR(__xludf.DUMMYFUNCTION("""COMPUTED_VALUE"""),"PETROLEOS Y SERVICIOS S.A")</f>
        <v>PETROLEOS Y SERVICIOS S.A</v>
      </c>
    </row>
    <row r="275" spans="4:5">
      <c r="D275" s="33" t="s">
        <v>352</v>
      </c>
      <c r="E275" s="33" t="str">
        <f ca="1">IFERROR(__xludf.DUMMYFUNCTION("""COMPUTED_VALUE"""),"PETROBRAS AILVEIRO GONZALEZ")</f>
        <v>PETROBRAS AILVEIRO GONZALEZ</v>
      </c>
    </row>
    <row r="276" spans="4:5">
      <c r="D276" s="33" t="s">
        <v>353</v>
      </c>
      <c r="E276" s="33" t="str">
        <f ca="1">IFERROR(__xludf.DUMMYFUNCTION("""COMPUTED_VALUE"""),"E.S. ROYAL ENERGY S.A.")</f>
        <v>E.S. ROYAL ENERGY S.A.</v>
      </c>
    </row>
    <row r="277" spans="4:5">
      <c r="D277" s="33" t="s">
        <v>354</v>
      </c>
      <c r="E277" s="33" t="str">
        <f ca="1">IFERROR(__xludf.DUMMYFUNCTION("""COMPUTED_VALUE"""),"EL FORTIN CONSTRUCCIONES S.R.L.")</f>
        <v>EL FORTIN CONSTRUCCIONES S.R.L.</v>
      </c>
    </row>
    <row r="278" spans="4:5">
      <c r="D278" s="33" t="s">
        <v>355</v>
      </c>
      <c r="E278" s="33" t="str">
        <f ca="1">IFERROR(__xludf.DUMMYFUNCTION("""COMPUTED_VALUE"""),"LIHUEN S.A.")</f>
        <v>LIHUEN S.A.</v>
      </c>
    </row>
    <row r="279" spans="4:5">
      <c r="D279" s="33" t="s">
        <v>356</v>
      </c>
      <c r="E279" s="33" t="str">
        <f ca="1">IFERROR(__xludf.DUMMYFUNCTION("""COMPUTED_VALUE"""),"NORDEX WINDPOWER S.A.")</f>
        <v>NORDEX WINDPOWER S.A.</v>
      </c>
    </row>
    <row r="280" spans="4:5">
      <c r="D280" s="33" t="s">
        <v>357</v>
      </c>
      <c r="E280" s="33" t="str">
        <f ca="1">IFERROR(__xludf.DUMMYFUNCTION("""COMPUTED_VALUE"""),"EDITORIAL RIO NEGRO S.A")</f>
        <v>EDITORIAL RIO NEGRO S.A</v>
      </c>
    </row>
    <row r="281" spans="4:5">
      <c r="D281" s="33" t="s">
        <v>358</v>
      </c>
      <c r="E281" s="33" t="str">
        <f ca="1">IFERROR(__xludf.DUMMYFUNCTION("""COMPUTED_VALUE"""),"TOMAKO S.R.L.")</f>
        <v>TOMAKO S.R.L.</v>
      </c>
    </row>
    <row r="282" spans="4:5">
      <c r="D282" s="33" t="s">
        <v>359</v>
      </c>
      <c r="E282" s="33" t="str">
        <f ca="1">IFERROR(__xludf.DUMMYFUNCTION("""COMPUTED_VALUE"""),"EQUIMAC S.A.C.I.F. e I.")</f>
        <v>EQUIMAC S.A.C.I.F. e I.</v>
      </c>
    </row>
    <row r="283" spans="4:5">
      <c r="D283" s="33" t="s">
        <v>360</v>
      </c>
      <c r="E283" s="33" t="str">
        <f ca="1">IFERROR(__xludf.DUMMYFUNCTION("""COMPUTED_VALUE"""),"ISOTRON S.A.")</f>
        <v>ISOTRON S.A.</v>
      </c>
    </row>
    <row r="284" spans="4:5">
      <c r="D284" s="33" t="s">
        <v>361</v>
      </c>
      <c r="E284" s="33" t="str">
        <f ca="1">IFERROR(__xludf.DUMMYFUNCTION("""COMPUTED_VALUE"""),"EMPRESA DE TRANSPORTE DE PASAJEROS KOKO SRL")</f>
        <v>EMPRESA DE TRANSPORTE DE PASAJEROS KOKO SRL</v>
      </c>
    </row>
    <row r="285" spans="4:5">
      <c r="D285" s="33" t="s">
        <v>362</v>
      </c>
      <c r="E285" s="33" t="str">
        <f ca="1">IFERROR(__xludf.DUMMYFUNCTION("""COMPUTED_VALUE"""),"FERREYRA CONSTRUCTORA VIAL S.A.")</f>
        <v>FERREYRA CONSTRUCTORA VIAL S.A.</v>
      </c>
    </row>
    <row r="286" spans="4:5">
      <c r="D286" s="33" t="s">
        <v>363</v>
      </c>
      <c r="E286" s="33" t="str">
        <f ca="1">IFERROR(__xludf.DUMMYFUNCTION("""COMPUTED_VALUE"""),"NS AUSTRAL S.R.L.")</f>
        <v>NS AUSTRAL S.R.L.</v>
      </c>
    </row>
    <row r="287" spans="4:5">
      <c r="D287" s="33" t="s">
        <v>364</v>
      </c>
      <c r="E287" s="33" t="str">
        <f ca="1">IFERROR(__xludf.DUMMYFUNCTION("""COMPUTED_VALUE"""),"LABORATORIO REGIONAL DE TOXICOLOGIA FORENSE")</f>
        <v>LABORATORIO REGIONAL DE TOXICOLOGIA FORENSE</v>
      </c>
    </row>
    <row r="288" spans="4:5">
      <c r="D288" s="33" t="s">
        <v>365</v>
      </c>
      <c r="E288" s="33" t="str">
        <f ca="1">IFERROR(__xludf.DUMMYFUNCTION("""COMPUTED_VALUE"""),"PAREX KLAUKOL S.A.")</f>
        <v>PAREX KLAUKOL S.A.</v>
      </c>
    </row>
    <row r="289" spans="4:5">
      <c r="D289" s="33" t="s">
        <v>366</v>
      </c>
      <c r="E289" s="33" t="str">
        <f ca="1">IFERROR(__xludf.DUMMYFUNCTION("""COMPUTED_VALUE"""),"Transbiaga S.A.")</f>
        <v>Transbiaga S.A.</v>
      </c>
    </row>
    <row r="290" spans="4:5">
      <c r="D290" s="33" t="s">
        <v>367</v>
      </c>
      <c r="E290" s="33" t="str">
        <f ca="1">IFERROR(__xludf.DUMMYFUNCTION("""COMPUTED_VALUE"""),"LOWIND S.R.L")</f>
        <v>LOWIND S.R.L</v>
      </c>
    </row>
    <row r="291" spans="4:5">
      <c r="D291" s="33" t="s">
        <v>368</v>
      </c>
      <c r="E291" s="33" t="str">
        <f ca="1">IFERROR(__xludf.DUMMYFUNCTION("""COMPUTED_VALUE"""),"COAMTRA S.A")</f>
        <v>COAMTRA S.A</v>
      </c>
    </row>
    <row r="292" spans="4:5">
      <c r="D292" s="33" t="s">
        <v>369</v>
      </c>
      <c r="E292" s="33" t="str">
        <f ca="1">IFERROR(__xludf.DUMMYFUNCTION("""COMPUTED_VALUE"""),"GPA CONSULTORIA AMBIENTAL SA")</f>
        <v>GPA CONSULTORIA AMBIENTAL SA</v>
      </c>
    </row>
    <row r="293" spans="4:5">
      <c r="D293" s="33" t="s">
        <v>370</v>
      </c>
      <c r="E293" s="33" t="str">
        <f ca="1">IFERROR(__xludf.DUMMYFUNCTION("""COMPUTED_VALUE"""),"JULIAN MARCELO LAVAYEN")</f>
        <v>JULIAN MARCELO LAVAYEN</v>
      </c>
    </row>
    <row r="294" spans="4:5">
      <c r="D294" s="33" t="s">
        <v>371</v>
      </c>
      <c r="E294" s="33" t="str">
        <f ca="1">IFERROR(__xludf.DUMMYFUNCTION("""COMPUTED_VALUE"""),"UNIVERSIDAD NACIONAL DE RIO NEGRO")</f>
        <v>UNIVERSIDAD NACIONAL DE RIO NEGRO</v>
      </c>
    </row>
    <row r="295" spans="4:5">
      <c r="D295" s="33" t="s">
        <v>372</v>
      </c>
      <c r="E295" s="33" t="str">
        <f ca="1">IFERROR(__xludf.DUMMYFUNCTION("""COMPUTED_VALUE"""),"MINISTERIO DE SALUD RIO NEGRO")</f>
        <v>MINISTERIO DE SALUD RIO NEGRO</v>
      </c>
    </row>
    <row r="296" spans="4:5">
      <c r="D296" s="33" t="s">
        <v>373</v>
      </c>
      <c r="E296" s="33" t="str">
        <f ca="1">IFERROR(__xludf.DUMMYFUNCTION("""COMPUTED_VALUE"""),"GUZMAN HUMBERTO GABRIEL")</f>
        <v>GUZMAN HUMBERTO GABRIEL</v>
      </c>
    </row>
    <row r="297" spans="4:5">
      <c r="D297" s="33" t="s">
        <v>374</v>
      </c>
      <c r="E297" s="33" t="str">
        <f ca="1">IFERROR(__xludf.DUMMYFUNCTION("""COMPUTED_VALUE"""),"18 DE MAYO S.R.L.")</f>
        <v>18 DE MAYO S.R.L.</v>
      </c>
    </row>
    <row r="298" spans="4:5">
      <c r="D298" s="33" t="s">
        <v>375</v>
      </c>
      <c r="E298" s="33" t="str">
        <f ca="1">IFERROR(__xludf.DUMMYFUNCTION("""COMPUTED_VALUE"""),"7 DE AGOSTO S.R.L.")</f>
        <v>7 DE AGOSTO S.R.L.</v>
      </c>
    </row>
    <row r="299" spans="4:5">
      <c r="D299" s="33" t="s">
        <v>376</v>
      </c>
      <c r="E299" s="33" t="str">
        <f ca="1">IFERROR(__xludf.DUMMYFUNCTION("""COMPUTED_VALUE"""),"A. SILVETTI Y CIA. S.R.L.")</f>
        <v>A. SILVETTI Y CIA. S.R.L.</v>
      </c>
    </row>
    <row r="300" spans="4:5">
      <c r="D300" s="33" t="s">
        <v>377</v>
      </c>
      <c r="E300" s="33" t="str">
        <f ca="1">IFERROR(__xludf.DUMMYFUNCTION("""COMPUTED_VALUE"""),"A-EVANGELISTA S.A.")</f>
        <v>A-EVANGELISTA S.A.</v>
      </c>
    </row>
    <row r="301" spans="4:5">
      <c r="D301" s="33" t="s">
        <v>378</v>
      </c>
      <c r="E301" s="33" t="str">
        <f ca="1">IFERROR(__xludf.DUMMYFUNCTION("""COMPUTED_VALUE"""),"ALBUS S.R.L.")</f>
        <v>ALBUS S.R.L.</v>
      </c>
    </row>
    <row r="302" spans="4:5">
      <c r="D302" s="33" t="s">
        <v>379</v>
      </c>
      <c r="E302" s="33" t="str">
        <f ca="1">IFERROR(__xludf.DUMMYFUNCTION("""COMPUTED_VALUE"""),"ALCALIS DE LA PATAGONIA SAIC")</f>
        <v>ALCALIS DE LA PATAGONIA SAIC</v>
      </c>
    </row>
    <row r="303" spans="4:5">
      <c r="D303" s="33" t="s">
        <v>380</v>
      </c>
      <c r="E303" s="33" t="str">
        <f ca="1">IFERROR(__xludf.DUMMYFUNCTION("""COMPUTED_VALUE"""),"AMBROSETTO SANDRA RAQUEL")</f>
        <v>AMBROSETTO SANDRA RAQUEL</v>
      </c>
    </row>
    <row r="304" spans="4:5">
      <c r="D304" s="33" t="s">
        <v>381</v>
      </c>
      <c r="E304" s="33" t="str">
        <f ca="1">IFERROR(__xludf.DUMMYFUNCTION("""COMPUTED_VALUE"""),"AMULLEM S.A.")</f>
        <v>AMULLEM S.A.</v>
      </c>
    </row>
    <row r="305" spans="4:5">
      <c r="D305" s="33" t="s">
        <v>382</v>
      </c>
      <c r="E305" s="33" t="str">
        <f ca="1">IFERROR(__xludf.DUMMYFUNCTION("""COMPUTED_VALUE"""),"ARUANNO-SALERNO-CRISTOFORATO S.H.")</f>
        <v>ARUANNO-SALERNO-CRISTOFORATO S.H.</v>
      </c>
    </row>
    <row r="306" spans="4:5">
      <c r="D306" s="33" t="s">
        <v>383</v>
      </c>
      <c r="E306" s="33" t="str">
        <f ca="1">IFERROR(__xludf.DUMMYFUNCTION("""COMPUTED_VALUE"""),"ATLANTICO AZUL S.A.")</f>
        <v>ATLANTICO AZUL S.A.</v>
      </c>
    </row>
    <row r="307" spans="4:5">
      <c r="D307" s="33" t="s">
        <v>384</v>
      </c>
      <c r="E307" s="33" t="str">
        <f ca="1">IFERROR(__xludf.DUMMYFUNCTION("""COMPUTED_VALUE"""),"ATLANTICO S.R.L.")</f>
        <v>ATLANTICO S.R.L.</v>
      </c>
    </row>
    <row r="308" spans="4:5">
      <c r="D308" s="33" t="s">
        <v>385</v>
      </c>
      <c r="E308" s="33" t="str">
        <f ca="1">IFERROR(__xludf.DUMMYFUNCTION("""COMPUTED_VALUE"""),"ACA EL BOLSÓN")</f>
        <v>ACA EL BOLSÓN</v>
      </c>
    </row>
    <row r="309" spans="4:5">
      <c r="D309" s="33" t="s">
        <v>386</v>
      </c>
      <c r="E309" s="33" t="str">
        <f ca="1">IFERROR(__xludf.DUMMYFUNCTION("""COMPUTED_VALUE"""),"ACA SIERRA GRANDE")</f>
        <v>ACA SIERRA GRANDE</v>
      </c>
    </row>
    <row r="310" spans="4:5">
      <c r="D310" s="33" t="s">
        <v>387</v>
      </c>
      <c r="E310" s="33" t="str">
        <f ca="1">IFERROR(__xludf.DUMMYFUNCTION("""COMPUTED_VALUE"""),"ACA LOS MENUCOS")</f>
        <v>ACA LOS MENUCOS</v>
      </c>
    </row>
    <row r="311" spans="4:5">
      <c r="D311" s="33" t="s">
        <v>388</v>
      </c>
      <c r="E311" s="33" t="str">
        <f ca="1">IFERROR(__xludf.DUMMYFUNCTION("""COMPUTED_VALUE"""),"ACA VILLA MASCARDI")</f>
        <v>ACA VILLA MASCARDI</v>
      </c>
    </row>
    <row r="312" spans="4:5">
      <c r="D312" s="33" t="s">
        <v>389</v>
      </c>
      <c r="E312" s="33" t="str">
        <f ca="1">IFERROR(__xludf.DUMMYFUNCTION("""COMPUTED_VALUE"""),"ACA CIPOLLETTI")</f>
        <v>ACA CIPOLLETTI</v>
      </c>
    </row>
    <row r="313" spans="4:5">
      <c r="D313" s="33" t="s">
        <v>390</v>
      </c>
      <c r="E313" s="33" t="str">
        <f ca="1">IFERROR(__xludf.DUMMYFUNCTION("""COMPUTED_VALUE"""),"ACA CHOELE CHOEL")</f>
        <v>ACA CHOELE CHOEL</v>
      </c>
    </row>
    <row r="314" spans="4:5">
      <c r="D314" s="33" t="s">
        <v>391</v>
      </c>
      <c r="E314" s="33" t="str">
        <f ca="1">IFERROR(__xludf.DUMMYFUNCTION("""COMPUTED_VALUE"""),"ACA VIEDMA")</f>
        <v>ACA VIEDMA</v>
      </c>
    </row>
    <row r="315" spans="4:5">
      <c r="D315" s="33" t="s">
        <v>392</v>
      </c>
      <c r="E315" s="33" t="str">
        <f ca="1">IFERROR(__xludf.DUMMYFUNCTION("""COMPUTED_VALUE"""),"BASE MELIPAL S.R.L.")</f>
        <v>BASE MELIPAL S.R.L.</v>
      </c>
    </row>
    <row r="316" spans="4:5">
      <c r="D316" s="33" t="s">
        <v>393</v>
      </c>
      <c r="E316" s="33" t="str">
        <f ca="1">IFERROR(__xludf.DUMMYFUNCTION("""COMPUTED_VALUE"""),"BELLINI BLAS JACINTO")</f>
        <v>BELLINI BLAS JACINTO</v>
      </c>
    </row>
    <row r="317" spans="4:5">
      <c r="D317" s="33" t="s">
        <v>272</v>
      </c>
      <c r="E317" s="33" t="str">
        <f ca="1">IFERROR(__xludf.DUMMYFUNCTION("""COMPUTED_VALUE"""),"CHITCHIAN S.A.")</f>
        <v>CHITCHIAN S.A.</v>
      </c>
    </row>
    <row r="318" spans="4:5">
      <c r="D318" s="33" t="s">
        <v>394</v>
      </c>
      <c r="E318" s="33" t="str">
        <f ca="1">IFERROR(__xludf.DUMMYFUNCTION("""COMPUTED_VALUE"""),"CLAUDIO MARCELO PIERROT")</f>
        <v>CLAUDIO MARCELO PIERROT</v>
      </c>
    </row>
    <row r="319" spans="4:5">
      <c r="D319" s="33" t="s">
        <v>395</v>
      </c>
      <c r="E319" s="33" t="str">
        <f ca="1">IFERROR(__xludf.DUMMYFUNCTION("""COMPUTED_VALUE"""),"COGNIGNI JORGE HUGO CARLOS")</f>
        <v>COGNIGNI JORGE HUGO CARLOS</v>
      </c>
    </row>
    <row r="320" spans="4:5">
      <c r="D320" s="33" t="s">
        <v>396</v>
      </c>
      <c r="E320" s="33" t="str">
        <f ca="1">IFERROR(__xludf.DUMMYFUNCTION("""COMPUTED_VALUE"""),"COHUE S.R.L.")</f>
        <v>COHUE S.R.L.</v>
      </c>
    </row>
    <row r="321" spans="4:5">
      <c r="D321" s="33" t="s">
        <v>397</v>
      </c>
      <c r="E321" s="33" t="str">
        <f ca="1">IFERROR(__xludf.DUMMYFUNCTION("""COMPUTED_VALUE"""),"COMPAÑÍA TSB S.A")</f>
        <v>COMPAÑÍA TSB S.A</v>
      </c>
    </row>
    <row r="322" spans="4:5">
      <c r="D322" s="33" t="s">
        <v>285</v>
      </c>
      <c r="E322" s="33" t="str">
        <f ca="1">IFERROR(__xludf.DUMMYFUNCTION("""COMPUTED_VALUE"""),"CRUCERO DEL NORTE S.R.L.")</f>
        <v>CRUCERO DEL NORTE S.R.L.</v>
      </c>
    </row>
    <row r="323" spans="4:5">
      <c r="D323" s="33" t="s">
        <v>398</v>
      </c>
      <c r="E323" s="33" t="str">
        <f ca="1">IFERROR(__xludf.DUMMYFUNCTION("""COMPUTED_VALUE"""),"DE BONA GIACOMA")</f>
        <v>DE BONA GIACOMA</v>
      </c>
    </row>
    <row r="324" spans="4:5">
      <c r="D324" s="33" t="s">
        <v>399</v>
      </c>
      <c r="E324" s="33" t="str">
        <f ca="1">IFERROR(__xludf.DUMMYFUNCTION("""COMPUTED_VALUE"""),"DIAZ SONIA VIVIANA")</f>
        <v>DIAZ SONIA VIVIANA</v>
      </c>
    </row>
    <row r="325" spans="4:5">
      <c r="D325" s="33" t="s">
        <v>400</v>
      </c>
      <c r="E325" s="33" t="str">
        <f ca="1">IFERROR(__xludf.DUMMYFUNCTION("""COMPUTED_VALUE"""),"DIRECCION DE VIALIDAD RIONEGRINA")</f>
        <v>DIRECCION DE VIALIDAD RIONEGRINA</v>
      </c>
    </row>
    <row r="326" spans="4:5">
      <c r="D326" s="33" t="s">
        <v>401</v>
      </c>
      <c r="E326" s="33" t="str">
        <f ca="1">IFERROR(__xludf.DUMMYFUNCTION("""COMPUTED_VALUE"""),"DIRECCION NACIONAL DE VIALIDAD")</f>
        <v>DIRECCION NACIONAL DE VIALIDAD</v>
      </c>
    </row>
    <row r="327" spans="4:5">
      <c r="D327" s="33" t="s">
        <v>402</v>
      </c>
      <c r="E327" s="33" t="str">
        <f ca="1">IFERROR(__xludf.DUMMYFUNCTION("""COMPUTED_VALUE"""),"DISTRIBUIDORA EL FARO S.A.")</f>
        <v>DISTRIBUIDORA EL FARO S.A.</v>
      </c>
    </row>
    <row r="328" spans="4:5">
      <c r="D328" s="33" t="s">
        <v>403</v>
      </c>
      <c r="E328" s="33" t="str">
        <f ca="1">IFERROR(__xludf.DUMMYFUNCTION("""COMPUTED_VALUE"""),"DISTRIBUIDORA PABLO S.A")</f>
        <v>DISTRIBUIDORA PABLO S.A</v>
      </c>
    </row>
    <row r="329" spans="4:5">
      <c r="D329" s="33" t="s">
        <v>404</v>
      </c>
      <c r="E329" s="33" t="str">
        <f ca="1">IFERROR(__xludf.DUMMYFUNCTION("""COMPUTED_VALUE"""),"EDUARDO ROBERTO EVANGELISTA")</f>
        <v>EDUARDO ROBERTO EVANGELISTA</v>
      </c>
    </row>
    <row r="330" spans="4:5">
      <c r="D330" s="33" t="s">
        <v>405</v>
      </c>
      <c r="E330" s="33" t="str">
        <f ca="1">IFERROR(__xludf.DUMMYFUNCTION("""COMPUTED_VALUE"""),"EMPRESA CEFERINO S.A.")</f>
        <v>EMPRESA CEFERINO S.A.</v>
      </c>
    </row>
    <row r="331" spans="4:5">
      <c r="D331" s="33" t="s">
        <v>406</v>
      </c>
      <c r="E331" s="33" t="str">
        <f ca="1">IFERROR(__xludf.DUMMYFUNCTION("""COMPUTED_VALUE"""),"EMPRESA DE ENERGIA RIO NEGRO S.A.")</f>
        <v>EMPRESA DE ENERGIA RIO NEGRO S.A.</v>
      </c>
    </row>
    <row r="332" spans="4:5">
      <c r="D332" s="33" t="s">
        <v>335</v>
      </c>
      <c r="E332" s="33" t="str">
        <f ca="1">IFERROR(__xludf.DUMMYFUNCTION("""COMPUTED_VALUE"""),"EMPRESA DE TRANSPORTE DE PASAJEROS KO KO S.R.L.")</f>
        <v>EMPRESA DE TRANSPORTE DE PASAJEROS KO KO S.R.L.</v>
      </c>
    </row>
    <row r="333" spans="4:5">
      <c r="D333" s="33" t="s">
        <v>253</v>
      </c>
      <c r="E333" s="33" t="str">
        <f ca="1">IFERROR(__xludf.DUMMYFUNCTION("""COMPUTED_VALUE"""),"EMPRESA KO KO S.R.L.")</f>
        <v>EMPRESA KO KO S.R.L.</v>
      </c>
    </row>
    <row r="334" spans="4:5">
      <c r="D334" s="33" t="s">
        <v>407</v>
      </c>
      <c r="E334" s="33" t="str">
        <f ca="1">IFERROR(__xludf.DUMMYFUNCTION("""COMPUTED_VALUE"""),"EQUIMAC S.A.C.I.F. E I.")</f>
        <v>EQUIMAC S.A.C.I.F. E I.</v>
      </c>
    </row>
    <row r="335" spans="4:5">
      <c r="D335" s="33" t="s">
        <v>408</v>
      </c>
      <c r="E335" s="33" t="str">
        <f ca="1">IFERROR(__xludf.DUMMYFUNCTION("""COMPUTED_VALUE"""),"ESTABLECIMIENTO HUMBERTO CANALE S.A.")</f>
        <v>ESTABLECIMIENTO HUMBERTO CANALE S.A.</v>
      </c>
    </row>
    <row r="336" spans="4:5">
      <c r="D336" s="33" t="s">
        <v>409</v>
      </c>
      <c r="E336" s="33" t="str">
        <f ca="1">IFERROR(__xludf.DUMMYFUNCTION("""COMPUTED_VALUE"""),"ESTACION Y P F CENTRO CONESA S.R.L.")</f>
        <v>ESTACION Y P F CENTRO CONESA S.R.L.</v>
      </c>
    </row>
    <row r="337" spans="4:5">
      <c r="D337" s="33" t="s">
        <v>410</v>
      </c>
      <c r="E337" s="33" t="str">
        <f ca="1">IFERROR(__xludf.DUMMYFUNCTION("""COMPUTED_VALUE"""),"FIDANZA HNOS. DE FIDANZA RAFAEL ANDRES Y OTROS")</f>
        <v>FIDANZA HNOS. DE FIDANZA RAFAEL ANDRES Y OTROS</v>
      </c>
    </row>
    <row r="338" spans="4:5">
      <c r="D338" s="33" t="s">
        <v>411</v>
      </c>
      <c r="E338" s="33" t="str">
        <f ca="1">IFERROR(__xludf.DUMMYFUNCTION("""COMPUTED_VALUE"""),"FULL GNC SRL")</f>
        <v>FULL GNC SRL</v>
      </c>
    </row>
    <row r="339" spans="4:5">
      <c r="D339" s="33" t="s">
        <v>412</v>
      </c>
      <c r="E339" s="33" t="str">
        <f ca="1">IFERROR(__xludf.DUMMYFUNCTION("""COMPUTED_VALUE"""),"GEN S.R.L")</f>
        <v>GEN S.R.L</v>
      </c>
    </row>
    <row r="340" spans="4:5">
      <c r="D340" s="33" t="s">
        <v>413</v>
      </c>
      <c r="E340" s="33" t="str">
        <f ca="1">IFERROR(__xludf.DUMMYFUNCTION("""COMPUTED_VALUE"""),"GLOBAL OIL S.R.L.")</f>
        <v>GLOBAL OIL S.R.L.</v>
      </c>
    </row>
    <row r="341" spans="4:5">
      <c r="D341" s="33" t="s">
        <v>414</v>
      </c>
      <c r="E341" s="33" t="str">
        <f ca="1">IFERROR(__xludf.DUMMYFUNCTION("""COMPUTED_VALUE"""),"GNC BARILOCHE S.A.")</f>
        <v>GNC BARILOCHE S.A.</v>
      </c>
    </row>
    <row r="342" spans="4:5">
      <c r="D342" s="33" t="s">
        <v>415</v>
      </c>
      <c r="E342" s="33" t="str">
        <f ca="1">IFERROR(__xludf.DUMMYFUNCTION("""COMPUTED_VALUE"""),"GNC NAHUEL SRL")</f>
        <v>GNC NAHUEL SRL</v>
      </c>
    </row>
    <row r="343" spans="4:5">
      <c r="D343" s="33" t="s">
        <v>416</v>
      </c>
      <c r="E343" s="33" t="str">
        <f ca="1">IFERROR(__xludf.DUMMYFUNCTION("""COMPUTED_VALUE"""),"GO ENERGY ROCA S.R.L.")</f>
        <v>GO ENERGY ROCA S.R.L.</v>
      </c>
    </row>
    <row r="344" spans="4:5">
      <c r="D344" s="33" t="s">
        <v>417</v>
      </c>
      <c r="E344" s="33" t="str">
        <f ca="1">IFERROR(__xludf.DUMMYFUNCTION("""COMPUTED_VALUE"""),"GOBIERNO DE LA PROVINCIA DE RIO NEGRO (MODULO DE ABASTECIMIENTO SOCIAL)")</f>
        <v>GOBIERNO DE LA PROVINCIA DE RIO NEGRO (MODULO DE ABASTECIMIENTO SOCIAL)</v>
      </c>
    </row>
    <row r="345" spans="4:5">
      <c r="D345" s="33" t="s">
        <v>418</v>
      </c>
      <c r="E345" s="33" t="str">
        <f ca="1">IFERROR(__xludf.DUMMYFUNCTION("""COMPUTED_VALUE"""),"GONZALEZ SILVERIO")</f>
        <v>GONZALEZ SILVERIO</v>
      </c>
    </row>
    <row r="346" spans="4:5">
      <c r="D346" s="33" t="s">
        <v>419</v>
      </c>
      <c r="E346" s="33" t="str">
        <f ca="1">IFERROR(__xludf.DUMMYFUNCTION("""COMPUTED_VALUE"""),"GONZALEZ TARABELLI SRL")</f>
        <v>GONZALEZ TARABELLI SRL</v>
      </c>
    </row>
    <row r="347" spans="4:5">
      <c r="D347" s="33" t="s">
        <v>420</v>
      </c>
      <c r="E347" s="33" t="str">
        <f ca="1">IFERROR(__xludf.DUMMYFUNCTION("""COMPUTED_VALUE"""),"GUSTAVO JULIAN Y MIGUEL ANGEL ZUAIN")</f>
        <v>GUSTAVO JULIAN Y MIGUEL ANGEL ZUAIN</v>
      </c>
    </row>
    <row r="348" spans="4:5">
      <c r="D348" s="33" t="s">
        <v>421</v>
      </c>
      <c r="E348" s="33" t="str">
        <f ca="1">IFERROR(__xludf.DUMMYFUNCTION("""COMPUTED_VALUE"""),"HEBERTO J. MUÑECAS S.A.")</f>
        <v>HEBERTO J. MUÑECAS S.A.</v>
      </c>
    </row>
    <row r="349" spans="4:5">
      <c r="D349" s="33" t="s">
        <v>422</v>
      </c>
      <c r="E349" s="33" t="str">
        <f ca="1">IFERROR(__xludf.DUMMYFUNCTION("""COMPUTED_VALUE"""),"HECTOR ARMANDO DI CLERICO")</f>
        <v>HECTOR ARMANDO DI CLERICO</v>
      </c>
    </row>
    <row r="350" spans="4:5">
      <c r="D350" s="33" t="s">
        <v>423</v>
      </c>
      <c r="E350" s="33" t="str">
        <f ca="1">IFERROR(__xludf.DUMMYFUNCTION("""COMPUTED_VALUE"""),"HIDRACO S.A.")</f>
        <v>HIDRACO S.A.</v>
      </c>
    </row>
    <row r="351" spans="4:5">
      <c r="D351" s="33" t="s">
        <v>424</v>
      </c>
      <c r="E351" s="33" t="str">
        <f ca="1">IFERROR(__xludf.DUMMYFUNCTION("""COMPUTED_VALUE"""),"JALIL JUAN MANZUR")</f>
        <v>JALIL JUAN MANZUR</v>
      </c>
    </row>
    <row r="352" spans="4:5">
      <c r="D352" s="33" t="s">
        <v>425</v>
      </c>
      <c r="E352" s="33" t="str">
        <f ca="1">IFERROR(__xludf.DUMMYFUNCTION("""COMPUTED_VALUE"""),"JORGE COGNINI")</f>
        <v>JORGE COGNINI</v>
      </c>
    </row>
    <row r="353" spans="4:5">
      <c r="D353" s="33" t="s">
        <v>426</v>
      </c>
      <c r="E353" s="33" t="str">
        <f ca="1">IFERROR(__xludf.DUMMYFUNCTION("""COMPUTED_VALUE"""),"JORGE PIRRI Y CIA. S.R.L.")</f>
        <v>JORGE PIRRI Y CIA. S.R.L.</v>
      </c>
    </row>
    <row r="354" spans="4:5">
      <c r="D354" s="33" t="s">
        <v>427</v>
      </c>
      <c r="E354" s="33" t="str">
        <f ca="1">IFERROR(__xludf.DUMMYFUNCTION("""COMPUTED_VALUE"""),"JULIO CESAR SANGIULIANO")</f>
        <v>JULIO CESAR SANGIULIANO</v>
      </c>
    </row>
    <row r="355" spans="4:5">
      <c r="D355" s="33" t="s">
        <v>428</v>
      </c>
      <c r="E355" s="33" t="str">
        <f ca="1">IFERROR(__xludf.DUMMYFUNCTION("""COMPUTED_VALUE"""),"LA 251 S.R.L.")</f>
        <v>LA 251 S.R.L.</v>
      </c>
    </row>
    <row r="356" spans="4:5">
      <c r="D356" s="33" t="s">
        <v>429</v>
      </c>
      <c r="E356" s="33" t="str">
        <f ca="1">IFERROR(__xludf.DUMMYFUNCTION("""COMPUTED_VALUE"""),"LA COLONIA S.A.")</f>
        <v>LA COLONIA S.A.</v>
      </c>
    </row>
    <row r="357" spans="4:5">
      <c r="D357" s="33" t="s">
        <v>430</v>
      </c>
      <c r="E357" s="33" t="str">
        <f ca="1">IFERROR(__xludf.DUMMYFUNCTION("""COMPUTED_VALUE"""),"LA PETRO S.R.L.")</f>
        <v>LA PETRO S.R.L.</v>
      </c>
    </row>
    <row r="358" spans="4:5">
      <c r="D358" s="33" t="s">
        <v>370</v>
      </c>
      <c r="E358" s="33" t="str">
        <f ca="1">IFERROR(__xludf.DUMMYFUNCTION("""COMPUTED_VALUE"""),"LA PICASA S.A.")</f>
        <v>LA PICASA S.A.</v>
      </c>
    </row>
    <row r="359" spans="4:5">
      <c r="D359" s="33" t="s">
        <v>431</v>
      </c>
      <c r="E359" s="33" t="str">
        <f ca="1">IFERROR(__xludf.DUMMYFUNCTION("""COMPUTED_VALUE"""),"LA PLAZA S.A.")</f>
        <v>LA PLAZA S.A.</v>
      </c>
    </row>
    <row r="360" spans="4:5">
      <c r="D360" s="33" t="s">
        <v>432</v>
      </c>
      <c r="E360" s="33" t="str">
        <f ca="1">IFERROR(__xludf.DUMMYFUNCTION("""COMPUTED_VALUE"""),"LA ROTONDA S.A.")</f>
        <v>LA ROTONDA S.A.</v>
      </c>
    </row>
    <row r="361" spans="4:5">
      <c r="D361" s="33" t="s">
        <v>433</v>
      </c>
      <c r="E361" s="33" t="str">
        <f ca="1">IFERROR(__xludf.DUMMYFUNCTION("""COMPUTED_VALUE"""),"LAS GRUTAS S.A.")</f>
        <v>LAS GRUTAS S.A.</v>
      </c>
    </row>
    <row r="362" spans="4:5">
      <c r="D362" s="33" t="s">
        <v>434</v>
      </c>
      <c r="E362" s="33" t="str">
        <f ca="1">IFERROR(__xludf.DUMMYFUNCTION("""COMPUTED_VALUE"""),"LONDON SUPPLY SACIFI")</f>
        <v>LONDON SUPPLY SACIFI</v>
      </c>
    </row>
    <row r="363" spans="4:5">
      <c r="D363" s="33" t="s">
        <v>435</v>
      </c>
      <c r="E363" s="33" t="str">
        <f ca="1">IFERROR(__xludf.DUMMYFUNCTION("""COMPUTED_VALUE"""),"LOS ABEDULES S.A.")</f>
        <v>LOS ABEDULES S.A.</v>
      </c>
    </row>
    <row r="364" spans="4:5">
      <c r="D364" s="33" t="s">
        <v>436</v>
      </c>
      <c r="E364" s="33" t="str">
        <f ca="1">IFERROR(__xludf.DUMMYFUNCTION("""COMPUTED_VALUE"""),"MARIA MARTA STUKENBERG")</f>
        <v>MARIA MARTA STUKENBERG</v>
      </c>
    </row>
    <row r="365" spans="4:5">
      <c r="D365" s="33" t="s">
        <v>437</v>
      </c>
      <c r="E365" s="33" t="str">
        <f ca="1">IFERROR(__xludf.DUMMYFUNCTION("""COMPUTED_VALUE"""),"MATIAS CALVO S.A.C.I.")</f>
        <v>MATIAS CALVO S.A.C.I.</v>
      </c>
    </row>
    <row r="366" spans="4:5">
      <c r="D366" s="33" t="s">
        <v>349</v>
      </c>
      <c r="E366" s="33" t="str">
        <f ca="1">IFERROR(__xludf.DUMMYFUNCTION("""COMPUTED_VALUE"""),"MCC MINERA SIERRA GRANDE S. A.")</f>
        <v>MCC MINERA SIERRA GRANDE S. A.</v>
      </c>
    </row>
    <row r="367" spans="4:5">
      <c r="D367" s="33" t="s">
        <v>438</v>
      </c>
      <c r="E367" s="33" t="str">
        <f ca="1">IFERROR(__xludf.DUMMYFUNCTION("""COMPUTED_VALUE"""),"MIELE S.A.")</f>
        <v>MIELE S.A.</v>
      </c>
    </row>
    <row r="368" spans="4:5">
      <c r="D368" s="33" t="s">
        <v>439</v>
      </c>
      <c r="E368" s="33" t="str">
        <f ca="1">IFERROR(__xludf.DUMMYFUNCTION("""COMPUTED_VALUE"""),"MIGUEL A PIÑEYRO E HIJOS S.R.L.")</f>
        <v>MIGUEL A PIÑEYRO E HIJOS S.R.L.</v>
      </c>
    </row>
    <row r="369" spans="4:5">
      <c r="D369" s="33" t="s">
        <v>440</v>
      </c>
      <c r="E369" s="33" t="str">
        <f ca="1">IFERROR(__xludf.DUMMYFUNCTION("""COMPUTED_VALUE"""),"MORAN D., MORAN J.C. Y MORAN E. S.H.")</f>
        <v>MORAN D., MORAN J.C. Y MORAN E. S.H.</v>
      </c>
    </row>
    <row r="370" spans="4:5">
      <c r="D370" s="33" t="s">
        <v>242</v>
      </c>
      <c r="E370" s="33" t="str">
        <f ca="1">IFERROR(__xludf.DUMMYFUNCTION("""COMPUTED_VALUE"""),"MULTISERVICIOS STEFENELLI S.A.")</f>
        <v>MULTISERVICIOS STEFENELLI S.A.</v>
      </c>
    </row>
    <row r="371" spans="4:5">
      <c r="D371" s="33" t="s">
        <v>441</v>
      </c>
      <c r="E371" s="33" t="str">
        <f ca="1">IFERROR(__xludf.DUMMYFUNCTION("""COMPUTED_VALUE"""),"MUNICIPALIDAD DE COMALLO")</f>
        <v>MUNICIPALIDAD DE COMALLO</v>
      </c>
    </row>
    <row r="372" spans="4:5">
      <c r="D372" s="33" t="s">
        <v>442</v>
      </c>
      <c r="E372" s="33" t="str">
        <f ca="1">IFERROR(__xludf.DUMMYFUNCTION("""COMPUTED_VALUE"""),"NORBERTO FERNANDO PIZZUTI")</f>
        <v>NORBERTO FERNANDO PIZZUTI</v>
      </c>
    </row>
    <row r="373" spans="4:5">
      <c r="D373" s="33" t="s">
        <v>443</v>
      </c>
      <c r="E373" s="33" t="str">
        <f ca="1">IFERROR(__xludf.DUMMYFUNCTION("""COMPUTED_VALUE"""),"NUEVO MADERO S.R.L.")</f>
        <v>NUEVO MADERO S.R.L.</v>
      </c>
    </row>
    <row r="374" spans="4:5">
      <c r="D374" s="33" t="s">
        <v>444</v>
      </c>
      <c r="E374" s="33" t="str">
        <f ca="1">IFERROR(__xludf.DUMMYFUNCTION("""COMPUTED_VALUE"""),"OLDELVAL S.A.")</f>
        <v>OLDELVAL S.A.</v>
      </c>
    </row>
    <row r="375" spans="4:5">
      <c r="D375" s="33" t="s">
        <v>445</v>
      </c>
      <c r="E375" s="33" t="str">
        <f ca="1">IFERROR(__xludf.DUMMYFUNCTION("""COMPUTED_VALUE"""),"OPERADORES BYC S.R.L.")</f>
        <v>OPERADORES BYC S.R.L.</v>
      </c>
    </row>
    <row r="376" spans="4:5">
      <c r="D376" s="33" t="s">
        <v>446</v>
      </c>
      <c r="E376" s="33" t="str">
        <f ca="1">IFERROR(__xludf.DUMMYFUNCTION("""COMPUTED_VALUE"""),"OPESSA")</f>
        <v>OPESSA</v>
      </c>
    </row>
    <row r="377" spans="4:5">
      <c r="D377" s="33" t="s">
        <v>447</v>
      </c>
      <c r="E377" s="33" t="str">
        <f ca="1">IFERROR(__xludf.DUMMYFUNCTION("""COMPUTED_VALUE"""),"ORESTE DOMINGO BENEDETTE")</f>
        <v>ORESTE DOMINGO BENEDETTE</v>
      </c>
    </row>
    <row r="378" spans="4:5">
      <c r="D378" s="33" t="s">
        <v>448</v>
      </c>
      <c r="E378" s="33" t="str">
        <f ca="1">IFERROR(__xludf.DUMMYFUNCTION("""COMPUTED_VALUE"""),"OSVALDO ALBANO VILLARREAL E HIJOS SA")</f>
        <v>OSVALDO ALBANO VILLARREAL E HIJOS SA</v>
      </c>
    </row>
    <row r="379" spans="4:5">
      <c r="D379" s="33" t="s">
        <v>449</v>
      </c>
      <c r="E379" s="33" t="str">
        <f ca="1">IFERROR(__xludf.DUMMYFUNCTION("""COMPUTED_VALUE"""),"P. TORTORIELLO Y CIA. SRL")</f>
        <v>P. TORTORIELLO Y CIA. SRL</v>
      </c>
    </row>
    <row r="380" spans="4:5">
      <c r="D380" s="33" t="s">
        <v>450</v>
      </c>
      <c r="E380" s="33" t="str">
        <f ca="1">IFERROR(__xludf.DUMMYFUNCTION("""COMPUTED_VALUE"""),"PAMISA SRL")</f>
        <v>PAMISA SRL</v>
      </c>
    </row>
    <row r="381" spans="4:5">
      <c r="D381" s="33" t="s">
        <v>451</v>
      </c>
      <c r="E381" s="33" t="str">
        <f ca="1">IFERROR(__xludf.DUMMYFUNCTION("""COMPUTED_VALUE"""),"PATAGONIA ARGENTINA SOCIEDAD MUTUAL")</f>
        <v>PATAGONIA ARGENTINA SOCIEDAD MUTUAL</v>
      </c>
    </row>
    <row r="382" spans="4:5">
      <c r="D382" s="33" t="s">
        <v>452</v>
      </c>
      <c r="E382" s="33" t="str">
        <f ca="1">IFERROR(__xludf.DUMMYFUNCTION("""COMPUTED_VALUE"""),"PETROGAS SANTA ROSA S.R.L.")</f>
        <v>PETROGAS SANTA ROSA S.R.L.</v>
      </c>
    </row>
    <row r="383" spans="4:5">
      <c r="D383" s="33" t="s">
        <v>453</v>
      </c>
      <c r="E383" s="33" t="str">
        <f ca="1">IFERROR(__xludf.DUMMYFUNCTION("""COMPUTED_VALUE"""),"PETROLEO &amp; SERVICIOS S.A.")</f>
        <v>PETROLEO &amp; SERVICIOS S.A.</v>
      </c>
    </row>
    <row r="384" spans="4:5">
      <c r="D384" s="33" t="s">
        <v>454</v>
      </c>
      <c r="E384" s="33" t="str">
        <f ca="1">IFERROR(__xludf.DUMMYFUNCTION("""COMPUTED_VALUE"""),"PETROLERA SAN AGUSTIN S.A.")</f>
        <v>PETROLERA SAN AGUSTIN S.A.</v>
      </c>
    </row>
    <row r="385" spans="4:5">
      <c r="D385" s="33" t="s">
        <v>455</v>
      </c>
      <c r="E385" s="33" t="str">
        <f ca="1">IFERROR(__xludf.DUMMYFUNCTION("""COMPUTED_VALUE"""),"PETROLERA SAN ANDRES S.R.L.")</f>
        <v>PETROLERA SAN ANDRES S.R.L.</v>
      </c>
    </row>
    <row r="386" spans="4:5">
      <c r="D386" s="33" t="s">
        <v>456</v>
      </c>
      <c r="E386" s="33" t="str">
        <f ca="1">IFERROR(__xludf.DUMMYFUNCTION("""COMPUTED_VALUE"""),"PETROPAMPA S.R.L.")</f>
        <v>PETROPAMPA S.R.L.</v>
      </c>
    </row>
    <row r="387" spans="4:5">
      <c r="D387" s="33" t="s">
        <v>457</v>
      </c>
      <c r="E387" s="33" t="str">
        <f ca="1">IFERROR(__xludf.DUMMYFUNCTION("""COMPUTED_VALUE"""),"PETROSUR S.R.L.")</f>
        <v>PETROSUR S.R.L.</v>
      </c>
    </row>
    <row r="388" spans="4:5">
      <c r="D388" s="33" t="s">
        <v>458</v>
      </c>
      <c r="E388" s="33" t="str">
        <f ca="1">IFERROR(__xludf.DUMMYFUNCTION("""COMPUTED_VALUE"""),"PIRRI HNOS. S.R.L.")</f>
        <v>PIRRI HNOS. S.R.L.</v>
      </c>
    </row>
    <row r="389" spans="4:5">
      <c r="D389" s="33" t="s">
        <v>459</v>
      </c>
      <c r="E389" s="33" t="str">
        <f ca="1">IFERROR(__xludf.DUMMYFUNCTION("""COMPUTED_VALUE"""),"POLLOLIN S.A.")</f>
        <v>POLLOLIN S.A.</v>
      </c>
    </row>
    <row r="390" spans="4:5">
      <c r="D390" s="33" t="s">
        <v>460</v>
      </c>
      <c r="E390" s="33" t="str">
        <f ca="1">IFERROR(__xludf.DUMMYFUNCTION("""COMPUTED_VALUE"""),"REFI PAMPA S.A.")</f>
        <v>REFI PAMPA S.A.</v>
      </c>
    </row>
    <row r="391" spans="4:5">
      <c r="D391" s="33" t="s">
        <v>461</v>
      </c>
      <c r="E391" s="33" t="str">
        <f ca="1">IFERROR(__xludf.DUMMYFUNCTION("""COMPUTED_VALUE"""),"RIO NEGRO COMBUSTIBLES S.R.L.")</f>
        <v>RIO NEGRO COMBUSTIBLES S.R.L.</v>
      </c>
    </row>
    <row r="392" spans="4:5">
      <c r="D392" s="33" t="s">
        <v>462</v>
      </c>
      <c r="E392" s="33" t="str">
        <f ca="1">IFERROR(__xludf.DUMMYFUNCTION("""COMPUTED_VALUE"""),"RIO SALADO S.R.L.")</f>
        <v>RIO SALADO S.R.L.</v>
      </c>
    </row>
    <row r="393" spans="4:5">
      <c r="D393" s="33" t="s">
        <v>463</v>
      </c>
      <c r="E393" s="33" t="str">
        <f ca="1">IFERROR(__xludf.DUMMYFUNCTION("""COMPUTED_VALUE"""),"ROCCA SUR S.R.L.")</f>
        <v>ROCCA SUR S.R.L.</v>
      </c>
    </row>
    <row r="394" spans="4:5">
      <c r="D394" s="33" t="s">
        <v>464</v>
      </c>
      <c r="E394" s="33" t="str">
        <f ca="1">IFERROR(__xludf.DUMMYFUNCTION("""COMPUTED_VALUE"""),"ROYAL ENERGY S.A.")</f>
        <v>ROYAL ENERGY S.A.</v>
      </c>
    </row>
    <row r="395" spans="4:5">
      <c r="D395" s="33" t="s">
        <v>465</v>
      </c>
      <c r="E395" s="33" t="str">
        <f ca="1">IFERROR(__xludf.DUMMYFUNCTION("""COMPUTED_VALUE"""),"S A O COMB S.A.")</f>
        <v>S A O COMB S.A.</v>
      </c>
    </row>
    <row r="396" spans="4:5">
      <c r="D396" s="33" t="s">
        <v>466</v>
      </c>
      <c r="E396" s="33" t="str">
        <f ca="1">IFERROR(__xludf.DUMMYFUNCTION("""COMPUTED_VALUE"""),"SALERNO ENRIQUE Y CRISTOFORATO HORACIO SOC. HECHO")</f>
        <v>SALERNO ENRIQUE Y CRISTOFORATO HORACIO SOC. HECHO</v>
      </c>
    </row>
    <row r="397" spans="4:5">
      <c r="D397" s="33" t="s">
        <v>241</v>
      </c>
      <c r="E397" s="33" t="str">
        <f ca="1">IFERROR(__xludf.DUMMYFUNCTION("""COMPUTED_VALUE"""),"SERVICENTRO EL BEBE S.R.L.")</f>
        <v>SERVICENTRO EL BEBE S.R.L.</v>
      </c>
    </row>
    <row r="398" spans="4:5">
      <c r="D398" s="33" t="s">
        <v>467</v>
      </c>
      <c r="E398" s="33" t="str">
        <f ca="1">IFERROR(__xludf.DUMMYFUNCTION("""COMPUTED_VALUE"""),"SERVICIOS CIPOLLETTI S.R.L.")</f>
        <v>SERVICIOS CIPOLLETTI S.R.L.</v>
      </c>
    </row>
    <row r="399" spans="4:5">
      <c r="D399" s="33" t="s">
        <v>468</v>
      </c>
      <c r="E399" s="33" t="str">
        <f ca="1">IFERROR(__xludf.DUMMYFUNCTION("""COMPUTED_VALUE"""),"SINDICATO DE CHOFERES DE CAMIONES OBREROS Y EMPLEADOS DEL TTE. AUT. DE CARGAS GRALES DE RIO NEGRO")</f>
        <v>SINDICATO DE CHOFERES DE CAMIONES OBREROS Y EMPLEADOS DEL TTE. AUT. DE CARGAS GRALES DE RIO NEGRO</v>
      </c>
    </row>
    <row r="400" spans="4:5">
      <c r="D400" s="33" t="s">
        <v>469</v>
      </c>
      <c r="E400" s="33" t="str">
        <f ca="1">IFERROR(__xludf.DUMMYFUNCTION("""COMPUTED_VALUE"""),"SOENERGY ARGENTINA S.A.")</f>
        <v>SOENERGY ARGENTINA S.A.</v>
      </c>
    </row>
    <row r="401" spans="4:5">
      <c r="D401" s="33" t="s">
        <v>470</v>
      </c>
      <c r="E401" s="33" t="str">
        <f ca="1">IFERROR(__xludf.DUMMYFUNCTION("""COMPUTED_VALUE"""),"SUC. DE DULSAN JUAN CARLOS")</f>
        <v>SUC. DE DULSAN JUAN CARLOS</v>
      </c>
    </row>
    <row r="402" spans="4:5">
      <c r="D402" s="33" t="s">
        <v>471</v>
      </c>
      <c r="E402" s="33" t="str">
        <f ca="1">IFERROR(__xludf.DUMMYFUNCTION("""COMPUTED_VALUE"""),"TECNOVALLE S.R.L.")</f>
        <v>TECNOVALLE S.R.L.</v>
      </c>
    </row>
    <row r="403" spans="4:5">
      <c r="D403" s="33" t="s">
        <v>472</v>
      </c>
      <c r="E403" s="33" t="str">
        <f ca="1">IFERROR(__xludf.DUMMYFUNCTION("""COMPUTED_VALUE"""),"TOMAKO SRL")</f>
        <v>TOMAKO SRL</v>
      </c>
    </row>
    <row r="404" spans="4:5">
      <c r="D404" s="33" t="s">
        <v>473</v>
      </c>
      <c r="E404" s="33" t="str">
        <f ca="1">IFERROR(__xludf.DUMMYFUNCTION("""COMPUTED_VALUE"""),"TORTORIELLO HNOS. S.R.L.")</f>
        <v>TORTORIELLO HNOS. S.R.L.</v>
      </c>
    </row>
    <row r="405" spans="4:5">
      <c r="D405" s="33" t="s">
        <v>474</v>
      </c>
      <c r="E405" s="33" t="str">
        <f ca="1">IFERROR(__xludf.DUMMYFUNCTION("""COMPUTED_VALUE"""),"TRANSPORTE AMANCAY S.R.L.")</f>
        <v>TRANSPORTE AMANCAY S.R.L.</v>
      </c>
    </row>
    <row r="406" spans="4:5">
      <c r="D406" s="33" t="s">
        <v>475</v>
      </c>
      <c r="E406" s="33" t="str">
        <f ca="1">IFERROR(__xludf.DUMMYFUNCTION("""COMPUTED_VALUE"""),"TRANSPORTE COMAHUE S.H.")</f>
        <v>TRANSPORTE COMAHUE S.H.</v>
      </c>
    </row>
    <row r="407" spans="4:5">
      <c r="D407" s="33" t="s">
        <v>476</v>
      </c>
      <c r="E407" s="33" t="str">
        <f ca="1">IFERROR(__xludf.DUMMYFUNCTION("""COMPUTED_VALUE"""),"TRANSPORTES DON OTTO S.A.")</f>
        <v>TRANSPORTES DON OTTO S.A.</v>
      </c>
    </row>
    <row r="408" spans="4:5">
      <c r="D408" s="33" t="s">
        <v>477</v>
      </c>
      <c r="E408" s="33" t="str">
        <f ca="1">IFERROR(__xludf.DUMMYFUNCTION("""COMPUTED_VALUE"""),"TRANSPORTES LAFFONT S.R.L.")</f>
        <v>TRANSPORTES LAFFONT S.R.L.</v>
      </c>
    </row>
    <row r="409" spans="4:5">
      <c r="D409" s="33" t="s">
        <v>478</v>
      </c>
      <c r="E409" s="33" t="str">
        <f ca="1">IFERROR(__xludf.DUMMYFUNCTION("""COMPUTED_VALUE"""),"TREMEN SRL")</f>
        <v>TREMEN SRL</v>
      </c>
    </row>
    <row r="410" spans="4:5">
      <c r="D410" s="33" t="s">
        <v>479</v>
      </c>
      <c r="E410" s="33" t="str">
        <f ca="1">IFERROR(__xludf.DUMMYFUNCTION("""COMPUTED_VALUE"""),"TREN PATAGONICO S.A.")</f>
        <v>TREN PATAGONICO S.A.</v>
      </c>
    </row>
    <row r="411" spans="4:5">
      <c r="D411" s="33" t="s">
        <v>480</v>
      </c>
      <c r="E411" s="33" t="str">
        <f ca="1">IFERROR(__xludf.DUMMYFUNCTION("""COMPUTED_VALUE"""),"VALLE FULL SRL")</f>
        <v>VALLE FULL SRL</v>
      </c>
    </row>
    <row r="412" spans="4:5">
      <c r="D412" s="33" t="s">
        <v>481</v>
      </c>
      <c r="E412" s="33" t="str">
        <f ca="1">IFERROR(__xludf.DUMMYFUNCTION("""COMPUTED_VALUE"""),"VENTURA ANTONIO")</f>
        <v>VENTURA ANTONIO</v>
      </c>
    </row>
    <row r="413" spans="4:5">
      <c r="D413" s="33" t="s">
        <v>482</v>
      </c>
      <c r="E413" s="33" t="str">
        <f ca="1">IFERROR(__xludf.DUMMYFUNCTION("""COMPUTED_VALUE"""),"VIA BARILOCHE SRL")</f>
        <v>VIA BARILOCHE SRL</v>
      </c>
    </row>
    <row r="414" spans="4:5">
      <c r="D414" s="33" t="s">
        <v>483</v>
      </c>
      <c r="E414" s="33" t="str">
        <f ca="1">IFERROR(__xludf.DUMMYFUNCTION("""COMPUTED_VALUE"""),"VIAL AGRO S.A.")</f>
        <v>VIAL AGRO S.A.</v>
      </c>
    </row>
    <row r="415" spans="4:5">
      <c r="D415" s="33" t="s">
        <v>484</v>
      </c>
      <c r="E415" s="33" t="str">
        <f ca="1">IFERROR(__xludf.DUMMYFUNCTION("""COMPUTED_VALUE"""),"VIAL AGRO SA-CN SAPAG SACCFII Y E-RN22SII-UTE")</f>
        <v>VIAL AGRO SA-CN SAPAG SACCFII Y E-RN22SII-UTE</v>
      </c>
    </row>
    <row r="416" spans="4:5">
      <c r="D416" s="33" t="s">
        <v>485</v>
      </c>
      <c r="E416" s="33" t="str">
        <f ca="1">IFERROR(__xludf.DUMMYFUNCTION("""COMPUTED_VALUE"""),"VILLAVERDE MARIO WALTER")</f>
        <v>VILLAVERDE MARIO WALTER</v>
      </c>
    </row>
    <row r="417" spans="4:5">
      <c r="D417" s="33" t="s">
        <v>486</v>
      </c>
      <c r="E417" s="33" t="str">
        <f ca="1">IFERROR(__xludf.DUMMYFUNCTION("""COMPUTED_VALUE"""),"VISTA OIL &amp; GAS ARGENTINA S.A.U.")</f>
        <v>VISTA OIL &amp; GAS ARGENTINA S.A.U.</v>
      </c>
    </row>
    <row r="418" spans="4:5">
      <c r="D418" s="33" t="s">
        <v>487</v>
      </c>
      <c r="E418" s="33" t="str">
        <f ca="1">IFERROR(__xludf.DUMMYFUNCTION("""COMPUTED_VALUE"""),"YACIMIENTO ENTRE LOMAS S.A.")</f>
        <v>YACIMIENTO ENTRE LOMAS S.A.</v>
      </c>
    </row>
    <row r="419" spans="4:5">
      <c r="D419" s="33" t="s">
        <v>488</v>
      </c>
      <c r="E419" s="33" t="str">
        <f ca="1">IFERROR(__xludf.DUMMYFUNCTION("""COMPUTED_VALUE"""),"ZGAIB DANIEL OSCAR")</f>
        <v>ZGAIB DANIEL OSCAR</v>
      </c>
    </row>
    <row r="420" spans="4:5">
      <c r="D420" s="33" t="s">
        <v>489</v>
      </c>
      <c r="E420" s="33" t="str">
        <f ca="1">IFERROR(__xludf.DUMMYFUNCTION("""COMPUTED_VALUE"""),"PETRO HUERGO S.R.L.")</f>
        <v>PETRO HUERGO S.R.L.</v>
      </c>
    </row>
    <row r="421" spans="4:5">
      <c r="D421" s="33" t="s">
        <v>490</v>
      </c>
      <c r="E421" s="33" t="str">
        <f ca="1">IFERROR(__xludf.DUMMYFUNCTION("""COMPUTED_VALUE"""),"ELISEI HNOS S.A.")</f>
        <v>ELISEI HNOS S.A.</v>
      </c>
    </row>
    <row r="422" spans="4:5">
      <c r="D422" s="33" t="s">
        <v>491</v>
      </c>
      <c r="E422" s="33" t="str">
        <f ca="1">IFERROR(__xludf.DUMMYFUNCTION("""COMPUTED_VALUE"""),"Treater Neuquén S.A.")</f>
        <v>Treater Neuquén S.A.</v>
      </c>
    </row>
    <row r="423" spans="4:5">
      <c r="D423" s="33" t="s">
        <v>492</v>
      </c>
      <c r="E423" s="33" t="str">
        <f ca="1">IFERROR(__xludf.DUMMYFUNCTION("""COMPUTED_VALUE"""),"Petrolera Aconcagua Energía S.A.")</f>
        <v>Petrolera Aconcagua Energía S.A.</v>
      </c>
    </row>
    <row r="424" spans="4:5">
      <c r="D424" s="33" t="s">
        <v>493</v>
      </c>
      <c r="E424" s="33" t="str">
        <f ca="1">IFERROR(__xludf.DUMMYFUNCTION("""COMPUTED_VALUE"""),"IMEXTRADE S.A.")</f>
        <v>IMEXTRADE S.A.</v>
      </c>
    </row>
    <row r="425" spans="4:5">
      <c r="D425" s="33" t="s">
        <v>494</v>
      </c>
      <c r="E425" s="33" t="str">
        <f ca="1">IFERROR(__xludf.DUMMYFUNCTION("""COMPUTED_VALUE"""),"CREXELL SOLUCIONES AMBIENTALES S.A.")</f>
        <v>CREXELL SOLUCIONES AMBIENTALES S.A.</v>
      </c>
    </row>
    <row r="426" spans="4:5">
      <c r="D426" s="33" t="s">
        <v>495</v>
      </c>
      <c r="E426" s="33" t="str">
        <f ca="1">IFERROR(__xludf.DUMMYFUNCTION("""COMPUTED_VALUE"""),"PROSOPIS S.R.L.")</f>
        <v>PROSOPIS S.R.L.</v>
      </c>
    </row>
    <row r="427" spans="4:5">
      <c r="D427" s="33" t="s">
        <v>116</v>
      </c>
      <c r="E427" s="33" t="str">
        <f ca="1">IFERROR(__xludf.DUMMYFUNCTION("""COMPUTED_VALUE"""),"INGENIERÍA SIMA S.A.")</f>
        <v>INGENIERÍA SIMA S.A.</v>
      </c>
    </row>
    <row r="428" spans="4:5">
      <c r="D428" s="33" t="s">
        <v>496</v>
      </c>
      <c r="E428" s="33" t="str">
        <f ca="1">IFERROR(__xludf.DUMMYFUNCTION("""COMPUTED_VALUE"""),"ENERGICON S.A.")</f>
        <v>ENERGICON S.A.</v>
      </c>
    </row>
    <row r="429" spans="4:5">
      <c r="D429" s="33" t="s">
        <v>497</v>
      </c>
      <c r="E429" s="33" t="str">
        <f ca="1">IFERROR(__xludf.DUMMYFUNCTION("""COMPUTED_VALUE"""),"ECOPOLO ARGENTINA S.A.")</f>
        <v>ECOPOLO ARGENTINA S.A.</v>
      </c>
    </row>
    <row r="430" spans="4:5">
      <c r="D430" s="33" t="s">
        <v>498</v>
      </c>
      <c r="E430" s="33" t="str">
        <f ca="1">IFERROR(__xludf.DUMMYFUNCTION("""COMPUTED_VALUE"""),"BIOPROCESS S.R.L.")</f>
        <v>BIOPROCESS S.R.L.</v>
      </c>
    </row>
    <row r="431" spans="4:5">
      <c r="D431" s="33" t="s">
        <v>13</v>
      </c>
      <c r="E431" s="33" t="str">
        <f ca="1">IFERROR(__xludf.DUMMYFUNCTION("""COMPUTED_VALUE"""),"Helmerich &amp; Payne Drilling Co.")</f>
        <v>Helmerich &amp; Payne Drilling Co.</v>
      </c>
    </row>
    <row r="432" spans="4:5">
      <c r="D432" s="33" t="s">
        <v>17</v>
      </c>
      <c r="E432" s="33" t="str">
        <f ca="1">IFERROR(__xludf.DUMMYFUNCTION("""COMPUTED_VALUE"""),"DELTAP S.A.")</f>
        <v>DELTAP S.A.</v>
      </c>
    </row>
    <row r="433" spans="4:5">
      <c r="D433" s="33" t="s">
        <v>21</v>
      </c>
      <c r="E433" s="33" t="str">
        <f ca="1">IFERROR(__xludf.DUMMYFUNCTION("""COMPUTED_VALUE"""),"O&amp;G DEVELOPMENTS LTD S.A.")</f>
        <v>O&amp;G DEVELOPMENTS LTD S.A.</v>
      </c>
    </row>
    <row r="434" spans="4:5">
      <c r="D434" s="33" t="s">
        <v>24</v>
      </c>
      <c r="E434" s="33" t="str">
        <f ca="1">IFERROR(__xludf.DUMMYFUNCTION("""COMPUTED_VALUE"""),"MADALENA PETROLEUM (AMERICAS) LTD. (SUCURSAL ARGEN")</f>
        <v>MADALENA PETROLEUM (AMERICAS) LTD. (SUCURSAL ARGEN</v>
      </c>
    </row>
    <row r="435" spans="4:5">
      <c r="D435" s="33" t="s">
        <v>27</v>
      </c>
      <c r="E435" s="33" t="str">
        <f ca="1">IFERROR(__xludf.DUMMYFUNCTION("""COMPUTED_VALUE"""),"PLUSPETROL S.A.")</f>
        <v>PLUSPETROL S.A.</v>
      </c>
    </row>
    <row r="436" spans="4:5">
      <c r="D436" s="33" t="s">
        <v>30</v>
      </c>
      <c r="E436" s="33" t="str">
        <f ca="1">IFERROR(__xludf.DUMMYFUNCTION("""COMPUTED_VALUE"""),"CAPEX S.A.")</f>
        <v>CAPEX S.A.</v>
      </c>
    </row>
    <row r="437" spans="4:5">
      <c r="D437" s="33" t="s">
        <v>33</v>
      </c>
      <c r="E437" s="33" t="str">
        <f ca="1">IFERROR(__xludf.DUMMYFUNCTION("""COMPUTED_VALUE"""),"KILWER S.A.")</f>
        <v>KILWER S.A.</v>
      </c>
    </row>
    <row r="438" spans="4:5">
      <c r="D438" s="33" t="s">
        <v>36</v>
      </c>
      <c r="E438" s="33" t="str">
        <f ca="1">IFERROR(__xludf.DUMMYFUNCTION("""COMPUTED_VALUE"""),"PRESIDENT PETROLEUM S.A.")</f>
        <v>PRESIDENT PETROLEUM S.A.</v>
      </c>
    </row>
    <row r="439" spans="4:5">
      <c r="D439" s="33" t="s">
        <v>39</v>
      </c>
      <c r="E439" s="33" t="str">
        <f ca="1">IFERROR(__xludf.DUMMYFUNCTION("""COMPUTED_VALUE"""),"Petrolera del Comahue S.A.")</f>
        <v>Petrolera del Comahue S.A.</v>
      </c>
    </row>
    <row r="440" spans="4:5">
      <c r="D440" s="33" t="s">
        <v>42</v>
      </c>
      <c r="E440" s="33" t="str">
        <f ca="1">IFERROR(__xludf.DUMMYFUNCTION("""COMPUTED_VALUE"""),"Vista Oil &amp; Gas Argentina S.A.U.")</f>
        <v>Vista Oil &amp; Gas Argentina S.A.U.</v>
      </c>
    </row>
    <row r="441" spans="4:5">
      <c r="D441" s="33" t="s">
        <v>45</v>
      </c>
      <c r="E441" s="33" t="str">
        <f ca="1">IFERROR(__xludf.DUMMYFUNCTION("""COMPUTED_VALUE"""),"Compañía General de Combustibles S.A.")</f>
        <v>Compañía General de Combustibles S.A.</v>
      </c>
    </row>
    <row r="442" spans="4:5">
      <c r="D442" s="33" t="s">
        <v>48</v>
      </c>
      <c r="E442" s="33" t="str">
        <f ca="1">IFERROR(__xludf.DUMMYFUNCTION("""COMPUTED_VALUE"""),"Petrolera Entre Lomas S.A.")</f>
        <v>Petrolera Entre Lomas S.A.</v>
      </c>
    </row>
    <row r="443" spans="4:5">
      <c r="D443" s="33" t="s">
        <v>51</v>
      </c>
      <c r="E443" s="33" t="str">
        <f ca="1">IFERROR(__xludf.DUMMYFUNCTION("""COMPUTED_VALUE"""),"YSUR Energía Argentina S.R.L.")</f>
        <v>YSUR Energía Argentina S.R.L.</v>
      </c>
    </row>
    <row r="444" spans="4:5">
      <c r="D444" s="33" t="s">
        <v>54</v>
      </c>
      <c r="E444" s="33" t="str">
        <f ca="1">IFERROR(__xludf.DUMMYFUNCTION("""COMPUTED_VALUE"""),"Petrobras Argentina S.A.")</f>
        <v>Petrobras Argentina S.A.</v>
      </c>
    </row>
    <row r="445" spans="4:5">
      <c r="D445" s="33" t="s">
        <v>57</v>
      </c>
      <c r="E445" s="33" t="str">
        <f ca="1">IFERROR(__xludf.DUMMYFUNCTION("""COMPUTED_VALUE"""),"Pampa Energía S.A.")</f>
        <v>Pampa Energía S.A.</v>
      </c>
    </row>
    <row r="446" spans="4:5">
      <c r="D446" s="33" t="s">
        <v>60</v>
      </c>
      <c r="E446" s="33" t="str">
        <f ca="1">IFERROR(__xludf.DUMMYFUNCTION("""COMPUTED_VALUE"""),"Central International Corporation Suc. Arg.")</f>
        <v>Central International Corporation Suc. Arg.</v>
      </c>
    </row>
    <row r="447" spans="4:5">
      <c r="D447" s="33" t="s">
        <v>63</v>
      </c>
      <c r="E447" s="33" t="str">
        <f ca="1">IFERROR(__xludf.DUMMYFUNCTION("""COMPUTED_VALUE"""),"Chevron Argentina S.R.L.")</f>
        <v>Chevron Argentina S.R.L.</v>
      </c>
    </row>
    <row r="448" spans="4:5">
      <c r="D448" s="33" t="s">
        <v>66</v>
      </c>
      <c r="E448" s="33" t="str">
        <f ca="1">IFERROR(__xludf.DUMMYFUNCTION("""COMPUTED_VALUE"""),"AMERICAS PETROGRAS ARGENTINA S.A.")</f>
        <v>AMERICAS PETROGRAS ARGENTINA S.A.</v>
      </c>
    </row>
    <row r="449" spans="4:5">
      <c r="D449" s="33" t="s">
        <v>69</v>
      </c>
      <c r="E449" s="33" t="str">
        <f ca="1">IFERROR(__xludf.DUMMYFUNCTION("""COMPUTED_VALUE"""),"UTE PCR S.A. - PAMPETROL SAPEM")</f>
        <v>UTE PCR S.A. - PAMPETROL SAPEM</v>
      </c>
    </row>
    <row r="450" spans="4:5">
      <c r="D450" s="33" t="s">
        <v>72</v>
      </c>
      <c r="E450" s="33" t="str">
        <f ca="1">IFERROR(__xludf.DUMMYFUNCTION("""COMPUTED_VALUE"""),"ALCALIS DE LA PATAGONIA S.A.I.C.")</f>
        <v>ALCALIS DE LA PATAGONIA S.A.I.C.</v>
      </c>
    </row>
    <row r="451" spans="4:5">
      <c r="D451" s="33" t="s">
        <v>499</v>
      </c>
      <c r="E451" s="33" t="str">
        <f ca="1">IFERROR(__xludf.DUMMYFUNCTION("""COMPUTED_VALUE"""),"ALIBERTI, LUIS")</f>
        <v>ALIBERTI, LUIS</v>
      </c>
    </row>
    <row r="452" spans="4:5">
      <c r="D452" s="33" t="s">
        <v>78</v>
      </c>
      <c r="E452" s="33" t="str">
        <f ca="1">IFERROR(__xludf.DUMMYFUNCTION("""COMPUTED_VALUE"""),"ALLEN AUTO MOTO CLUB")</f>
        <v>ALLEN AUTO MOTO CLUB</v>
      </c>
    </row>
    <row r="453" spans="4:5">
      <c r="D453" s="33" t="s">
        <v>80</v>
      </c>
      <c r="E453" s="33" t="str">
        <f ca="1">IFERROR(__xludf.DUMMYFUNCTION("""COMPUTED_VALUE"""),"ALVAREZ ALBERTO PEDRO")</f>
        <v>ALVAREZ ALBERTO PEDRO</v>
      </c>
    </row>
    <row r="454" spans="4:5">
      <c r="D454" s="33" t="s">
        <v>82</v>
      </c>
      <c r="E454" s="33" t="str">
        <f ca="1">IFERROR(__xludf.DUMMYFUNCTION("""COMPUTED_VALUE"""),"ARANGUEZ, MIGUEL ENRIQUE")</f>
        <v>ARANGUEZ, MIGUEL ENRIQUE</v>
      </c>
    </row>
    <row r="455" spans="4:5">
      <c r="D455" s="33" t="s">
        <v>84</v>
      </c>
      <c r="E455" s="33" t="str">
        <f ca="1">IFERROR(__xludf.DUMMYFUNCTION("""COMPUTED_VALUE"""),"ARENERA ALLEN S.R.L")</f>
        <v>ARENERA ALLEN S.R.L</v>
      </c>
    </row>
    <row r="456" spans="4:5">
      <c r="D456" s="33" t="s">
        <v>86</v>
      </c>
      <c r="E456" s="33" t="str">
        <f ca="1">IFERROR(__xludf.DUMMYFUNCTION("""COMPUTED_VALUE"""),"ARENERA DON PEDRO")</f>
        <v>ARENERA DON PEDRO</v>
      </c>
    </row>
    <row r="457" spans="4:5">
      <c r="D457" s="33" t="s">
        <v>88</v>
      </c>
      <c r="E457" s="33" t="str">
        <f ca="1">IFERROR(__xludf.DUMMYFUNCTION("""COMPUTED_VALUE"""),"ARIDEROS S.R.L.")</f>
        <v>ARIDEROS S.R.L.</v>
      </c>
    </row>
    <row r="458" spans="4:5">
      <c r="D458" s="33" t="s">
        <v>90</v>
      </c>
      <c r="E458" s="33" t="str">
        <f ca="1">IFERROR(__xludf.DUMMYFUNCTION("""COMPUTED_VALUE"""),"AVENDAÑO, JOSÉ SILVERIO")</f>
        <v>AVENDAÑO, JOSÉ SILVERIO</v>
      </c>
    </row>
    <row r="459" spans="4:5">
      <c r="D459" s="33" t="s">
        <v>92</v>
      </c>
      <c r="E459" s="33" t="str">
        <f ca="1">IFERROR(__xludf.DUMMYFUNCTION("""COMPUTED_VALUE"""),"AVENDAÑO, Juana Leonor y otros")</f>
        <v>AVENDAÑO, Juana Leonor y otros</v>
      </c>
    </row>
    <row r="460" spans="4:5">
      <c r="D460" s="33" t="s">
        <v>94</v>
      </c>
      <c r="E460" s="33" t="str">
        <f ca="1">IFERROR(__xludf.DUMMYFUNCTION("""COMPUTED_VALUE"""),"BARASCHI DEREK FABIAN")</f>
        <v>BARASCHI DEREK FABIAN</v>
      </c>
    </row>
    <row r="461" spans="4:5">
      <c r="D461" s="33" t="s">
        <v>96</v>
      </c>
      <c r="E461" s="33" t="str">
        <f ca="1">IFERROR(__xludf.DUMMYFUNCTION("""COMPUTED_VALUE"""),"BIOTEC ARGENTINA S.R.L.")</f>
        <v>BIOTEC ARGENTINA S.R.L.</v>
      </c>
    </row>
    <row r="462" spans="4:5">
      <c r="D462" s="33" t="s">
        <v>98</v>
      </c>
      <c r="E462" s="33" t="str">
        <f ca="1">IFERROR(__xludf.DUMMYFUNCTION("""COMPUTED_VALUE"""),"BOLATTI RAUL OMAR")</f>
        <v>BOLATTI RAUL OMAR</v>
      </c>
    </row>
    <row r="463" spans="4:5">
      <c r="D463" s="33" t="s">
        <v>100</v>
      </c>
      <c r="E463" s="33" t="str">
        <f ca="1">IFERROR(__xludf.DUMMYFUNCTION("""COMPUTED_VALUE"""),"BONVENTRE, NATALIO")</f>
        <v>BONVENTRE, NATALIO</v>
      </c>
    </row>
    <row r="464" spans="4:5">
      <c r="D464" s="33" t="s">
        <v>102</v>
      </c>
      <c r="E464" s="33" t="str">
        <f ca="1">IFERROR(__xludf.DUMMYFUNCTION("""COMPUTED_VALUE"""),"BOWEN RAUL")</f>
        <v>BOWEN RAUL</v>
      </c>
    </row>
    <row r="465" spans="4:5">
      <c r="D465" s="33" t="s">
        <v>104</v>
      </c>
      <c r="E465" s="33" t="str">
        <f ca="1">IFERROR(__xludf.DUMMYFUNCTION("""COMPUTED_VALUE"""),"BRAVO JOSE")</f>
        <v>BRAVO JOSE</v>
      </c>
    </row>
    <row r="466" spans="4:5">
      <c r="D466" s="33" t="s">
        <v>106</v>
      </c>
      <c r="E466" s="33" t="str">
        <f ca="1">IFERROR(__xludf.DUMMYFUNCTION("""COMPUTED_VALUE"""),"BRUSSINO JUAN CARLOS RAIMUNDO")</f>
        <v>BRUSSINO JUAN CARLOS RAIMUNDO</v>
      </c>
    </row>
    <row r="467" spans="4:5">
      <c r="D467" s="33" t="s">
        <v>108</v>
      </c>
      <c r="E467" s="33" t="str">
        <f ca="1">IFERROR(__xludf.DUMMYFUNCTION("""COMPUTED_VALUE"""),"BUSTOS, Ricardo Marcelo")</f>
        <v>BUSTOS, Ricardo Marcelo</v>
      </c>
    </row>
    <row r="468" spans="4:5">
      <c r="D468" s="33" t="s">
        <v>110</v>
      </c>
      <c r="E468" s="33" t="str">
        <f ca="1">IFERROR(__xludf.DUMMYFUNCTION("""COMPUTED_VALUE"""),"CANTERA BG S.R.L. (Claudio N. Guerriero)")</f>
        <v>CANTERA BG S.R.L. (Claudio N. Guerriero)</v>
      </c>
    </row>
    <row r="469" spans="4:5">
      <c r="D469" s="33" t="s">
        <v>112</v>
      </c>
      <c r="E469" s="33" t="str">
        <f ca="1">IFERROR(__xludf.DUMMYFUNCTION("""COMPUTED_VALUE"""),"CARDENAS, JONATHAN EZEQUIAL")</f>
        <v>CARDENAS, JONATHAN EZEQUIAL</v>
      </c>
    </row>
    <row r="470" spans="4:5">
      <c r="D470" s="33" t="s">
        <v>114</v>
      </c>
      <c r="E470" s="33" t="str">
        <f ca="1">IFERROR(__xludf.DUMMYFUNCTION("""COMPUTED_VALUE"""),"CASTIGLIONE PES Y CIA. S.A.")</f>
        <v>CASTIGLIONE PES Y CIA. S.A.</v>
      </c>
    </row>
    <row r="471" spans="4:5">
      <c r="D471" s="33" t="s">
        <v>116</v>
      </c>
      <c r="E471" s="33" t="str">
        <f ca="1">IFERROR(__xludf.DUMMYFUNCTION("""COMPUTED_VALUE"""),"CASTRILLO, Fructuoso")</f>
        <v>CASTRILLO, Fructuoso</v>
      </c>
    </row>
    <row r="472" spans="4:5">
      <c r="D472" s="33" t="s">
        <v>118</v>
      </c>
      <c r="E472" s="33" t="str">
        <f ca="1">IFERROR(__xludf.DUMMYFUNCTION("""COMPUTED_VALUE"""),"CAVASIN, ALEJANDRO CARLOS")</f>
        <v>CAVASIN, ALEJANDRO CARLOS</v>
      </c>
    </row>
    <row r="473" spans="4:5">
      <c r="D473" s="33" t="s">
        <v>120</v>
      </c>
      <c r="E473" s="33" t="str">
        <f ca="1">IFERROR(__xludf.DUMMYFUNCTION("""COMPUTED_VALUE"""),"CERDA ANIBAL RICARDO")</f>
        <v>CERDA ANIBAL RICARDO</v>
      </c>
    </row>
    <row r="474" spans="4:5">
      <c r="D474" s="33" t="s">
        <v>122</v>
      </c>
      <c r="E474" s="33" t="str">
        <f ca="1">IFERROR(__xludf.DUMMYFUNCTION("""COMPUTED_VALUE"""),"CODISTEL S.A.")</f>
        <v>CODISTEL S.A.</v>
      </c>
    </row>
    <row r="475" spans="4:5">
      <c r="D475" s="33" t="s">
        <v>123</v>
      </c>
      <c r="E475" s="33" t="str">
        <f ca="1">IFERROR(__xludf.DUMMYFUNCTION("""COMPUTED_VALUE"""),"COLOS, Adolfo Anselmo")</f>
        <v>COLOS, Adolfo Anselmo</v>
      </c>
    </row>
    <row r="476" spans="4:5">
      <c r="D476" s="33" t="s">
        <v>124</v>
      </c>
      <c r="E476" s="33" t="str">
        <f ca="1">IFERROR(__xludf.DUMMYFUNCTION("""COMPUTED_VALUE"""),"CRESPO, OSCAR ÁNGEL")</f>
        <v>CRESPO, OSCAR ÁNGEL</v>
      </c>
    </row>
    <row r="477" spans="4:5">
      <c r="D477" s="33" t="s">
        <v>125</v>
      </c>
      <c r="E477" s="33" t="str">
        <f ca="1">IFERROR(__xludf.DUMMYFUNCTION("""COMPUTED_VALUE"""),"DÍAZ, Rubén Omar")</f>
        <v>DÍAZ, Rubén Omar</v>
      </c>
    </row>
    <row r="478" spans="4:5">
      <c r="D478" s="33" t="s">
        <v>126</v>
      </c>
      <c r="E478" s="33" t="str">
        <f ca="1">IFERROR(__xludf.DUMMYFUNCTION("""COMPUTED_VALUE"""),"DURLOCK S.A")</f>
        <v>DURLOCK S.A</v>
      </c>
    </row>
    <row r="479" spans="4:5">
      <c r="D479" s="33" t="s">
        <v>127</v>
      </c>
      <c r="E479" s="33" t="str">
        <f ca="1">IFERROR(__xludf.DUMMYFUNCTION("""COMPUTED_VALUE"""),"Ecomin SRL")</f>
        <v>Ecomin SRL</v>
      </c>
    </row>
    <row r="480" spans="4:5">
      <c r="D480" s="33" t="s">
        <v>128</v>
      </c>
      <c r="E480" s="33" t="str">
        <f ca="1">IFERROR(__xludf.DUMMYFUNCTION("""COMPUTED_VALUE"""),"EMPRESA CONSTRUCTORA ROQUE MOCCIOLA S.A.")</f>
        <v>EMPRESA CONSTRUCTORA ROQUE MOCCIOLA S.A.</v>
      </c>
    </row>
    <row r="481" spans="4:5">
      <c r="D481" s="33" t="s">
        <v>129</v>
      </c>
      <c r="E481" s="33" t="str">
        <f ca="1">IFERROR(__xludf.DUMMYFUNCTION("""COMPUTED_VALUE"""),"ESPINOSA, SANTIAGO")</f>
        <v>ESPINOSA, SANTIAGO</v>
      </c>
    </row>
    <row r="482" spans="4:5">
      <c r="D482" s="33" t="s">
        <v>130</v>
      </c>
      <c r="E482" s="33" t="str">
        <f ca="1">IFERROR(__xludf.DUMMYFUNCTION("""COMPUTED_VALUE"""),"ESTEVANACIO VICTORIO ADAN")</f>
        <v>ESTEVANACIO VICTORIO ADAN</v>
      </c>
    </row>
    <row r="483" spans="4:5">
      <c r="D483" s="33" t="s">
        <v>131</v>
      </c>
      <c r="E483" s="33" t="str">
        <f ca="1">IFERROR(__xludf.DUMMYFUNCTION("""COMPUTED_VALUE"""),"ESTÉVEZ ANTONIO")</f>
        <v>ESTÉVEZ ANTONIO</v>
      </c>
    </row>
    <row r="484" spans="4:5">
      <c r="D484" s="33" t="s">
        <v>132</v>
      </c>
      <c r="E484" s="33" t="str">
        <f ca="1">IFERROR(__xludf.DUMMYFUNCTION("""COMPUTED_VALUE"""),"FERNÁNDEZ ANSOLA, CRISTÓBAL ELÍAS")</f>
        <v>FERNÁNDEZ ANSOLA, CRISTÓBAL ELÍAS</v>
      </c>
    </row>
    <row r="485" spans="4:5">
      <c r="D485" s="33" t="s">
        <v>133</v>
      </c>
      <c r="E485" s="33" t="str">
        <f ca="1">IFERROR(__xludf.DUMMYFUNCTION("""COMPUTED_VALUE"""),"Forestadora del Limay")</f>
        <v>Forestadora del Limay</v>
      </c>
    </row>
    <row r="486" spans="4:5">
      <c r="D486" s="33" t="s">
        <v>134</v>
      </c>
      <c r="E486" s="33" t="str">
        <f ca="1">IFERROR(__xludf.DUMMYFUNCTION("""COMPUTED_VALUE"""),"GACITUA ISLA, LORENA")</f>
        <v>GACITUA ISLA, LORENA</v>
      </c>
    </row>
    <row r="487" spans="4:5">
      <c r="D487" s="33" t="s">
        <v>135</v>
      </c>
      <c r="E487" s="33" t="str">
        <f ca="1">IFERROR(__xludf.DUMMYFUNCTION("""COMPUTED_VALUE"""),"GARCIA FRANCISCO RAFAEL")</f>
        <v>GARCIA FRANCISCO RAFAEL</v>
      </c>
    </row>
    <row r="488" spans="4:5">
      <c r="D488" s="33" t="s">
        <v>136</v>
      </c>
      <c r="E488" s="33" t="str">
        <f ca="1">IFERROR(__xludf.DUMMYFUNCTION("""COMPUTED_VALUE"""),"GIARRAFFA, JUAN RAMÓN")</f>
        <v>GIARRAFFA, JUAN RAMÓN</v>
      </c>
    </row>
    <row r="489" spans="4:5">
      <c r="D489" s="33" t="s">
        <v>137</v>
      </c>
      <c r="E489" s="33" t="str">
        <f ca="1">IFERROR(__xludf.DUMMYFUNCTION("""COMPUTED_VALUE"""),"GOMEZ HUGO")</f>
        <v>GOMEZ HUGO</v>
      </c>
    </row>
    <row r="490" spans="4:5">
      <c r="D490" s="33" t="s">
        <v>138</v>
      </c>
      <c r="E490" s="33" t="str">
        <f ca="1">IFERROR(__xludf.DUMMYFUNCTION("""COMPUTED_VALUE"""),"GONZALEZ RAFAEL TEODORO")</f>
        <v>GONZALEZ RAFAEL TEODORO</v>
      </c>
    </row>
    <row r="491" spans="4:5">
      <c r="D491" s="33" t="s">
        <v>500</v>
      </c>
      <c r="E491" s="33" t="str">
        <f ca="1">IFERROR(__xludf.DUMMYFUNCTION("""COMPUTED_VALUE"""),"GUZMÁM, Humberto")</f>
        <v>GUZMÁM, Humberto</v>
      </c>
    </row>
    <row r="492" spans="4:5">
      <c r="D492" s="33" t="s">
        <v>140</v>
      </c>
      <c r="E492" s="33" t="str">
        <f ca="1">IFERROR(__xludf.DUMMYFUNCTION("""COMPUTED_VALUE"""),"HOMSE, Arturo")</f>
        <v>HOMSE, Arturo</v>
      </c>
    </row>
    <row r="493" spans="4:5">
      <c r="D493" s="33" t="s">
        <v>141</v>
      </c>
      <c r="E493" s="33" t="str">
        <f ca="1">IFERROR(__xludf.DUMMYFUNCTION("""COMPUTED_VALUE"""),"HORMIGONERA DEL INTERIOR S.R.L.")</f>
        <v>HORMIGONERA DEL INTERIOR S.R.L.</v>
      </c>
    </row>
    <row r="494" spans="4:5">
      <c r="D494" s="33" t="s">
        <v>142</v>
      </c>
      <c r="E494" s="33" t="str">
        <f ca="1">IFERROR(__xludf.DUMMYFUNCTION("""COMPUTED_VALUE"""),"IARIA REGINA YOLANDA")</f>
        <v>IARIA REGINA YOLANDA</v>
      </c>
    </row>
    <row r="495" spans="4:5">
      <c r="D495" s="33" t="s">
        <v>143</v>
      </c>
      <c r="E495" s="33" t="str">
        <f ca="1">IFERROR(__xludf.DUMMYFUNCTION("""COMPUTED_VALUE"""),"IMPICCINI HERCULES")</f>
        <v>IMPICCINI HERCULES</v>
      </c>
    </row>
    <row r="496" spans="4:5">
      <c r="D496" s="33" t="s">
        <v>144</v>
      </c>
      <c r="E496" s="33" t="str">
        <f ca="1">IFERROR(__xludf.DUMMYFUNCTION("""COMPUTED_VALUE"""),"KNORZ ANTONIO MIGUEL")</f>
        <v>KNORZ ANTONIO MIGUEL</v>
      </c>
    </row>
    <row r="497" spans="4:5">
      <c r="D497" s="33" t="s">
        <v>145</v>
      </c>
      <c r="E497" s="33" t="str">
        <f ca="1">IFERROR(__xludf.DUMMYFUNCTION("""COMPUTED_VALUE"""),"KRAL, Juan Pedro")</f>
        <v>KRAL, Juan Pedro</v>
      </c>
    </row>
    <row r="498" spans="4:5">
      <c r="D498" s="33" t="s">
        <v>146</v>
      </c>
      <c r="E498" s="33" t="str">
        <f ca="1">IFERROR(__xludf.DUMMYFUNCTION("""COMPUTED_VALUE"""),"KRAL, VICTORIANO")</f>
        <v>KRAL, VICTORIANO</v>
      </c>
    </row>
    <row r="499" spans="4:5">
      <c r="D499" s="33" t="s">
        <v>147</v>
      </c>
      <c r="E499" s="33" t="str">
        <f ca="1">IFERROR(__xludf.DUMMYFUNCTION("""COMPUTED_VALUE"""),"LAGUNA PLAYA S.R.L.")</f>
        <v>LAGUNA PLAYA S.R.L.</v>
      </c>
    </row>
    <row r="500" spans="4:5">
      <c r="D500" s="33" t="s">
        <v>148</v>
      </c>
      <c r="E500" s="33" t="str">
        <f ca="1">IFERROR(__xludf.DUMMYFUNCTION("""COMPUTED_VALUE"""),"LENCINA ALDO VICENTE")</f>
        <v>LENCINA ALDO VICENTE</v>
      </c>
    </row>
    <row r="501" spans="4:5">
      <c r="D501" s="33" t="s">
        <v>149</v>
      </c>
      <c r="E501" s="33" t="str">
        <f ca="1">IFERROR(__xludf.DUMMYFUNCTION("""COMPUTED_VALUE"""),"LONGO, HÉCTOR MODESTO")</f>
        <v>LONGO, HÉCTOR MODESTO</v>
      </c>
    </row>
    <row r="502" spans="4:5">
      <c r="D502" s="33" t="s">
        <v>150</v>
      </c>
      <c r="E502" s="33" t="str">
        <f ca="1">IFERROR(__xludf.DUMMYFUNCTION("""COMPUTED_VALUE"""),"LORENZO, EDUARDO JAVIER")</f>
        <v>LORENZO, EDUARDO JAVIER</v>
      </c>
    </row>
    <row r="503" spans="4:5">
      <c r="D503" s="33" t="s">
        <v>151</v>
      </c>
      <c r="E503" s="33" t="str">
        <f ca="1">IFERROR(__xludf.DUMMYFUNCTION("""COMPUTED_VALUE"""),"MANQUELEF, ROBERTO")</f>
        <v>MANQUELEF, ROBERTO</v>
      </c>
    </row>
    <row r="504" spans="4:5">
      <c r="D504" s="33" t="s">
        <v>152</v>
      </c>
      <c r="E504" s="33" t="str">
        <f ca="1">IFERROR(__xludf.DUMMYFUNCTION("""COMPUTED_VALUE"""),"MARILLAN VICTORINO")</f>
        <v>MARILLAN VICTORINO</v>
      </c>
    </row>
    <row r="505" spans="4:5">
      <c r="D505" s="33" t="s">
        <v>153</v>
      </c>
      <c r="E505" s="33" t="str">
        <f ca="1">IFERROR(__xludf.DUMMYFUNCTION("""COMPUTED_VALUE"""),"MASLOWSKI, JUAN")</f>
        <v>MASLOWSKI, JUAN</v>
      </c>
    </row>
    <row r="506" spans="4:5">
      <c r="D506" s="33" t="s">
        <v>154</v>
      </c>
      <c r="E506" s="33" t="str">
        <f ca="1">IFERROR(__xludf.DUMMYFUNCTION("""COMPUTED_VALUE"""),"MCC MINERA SIERRA GRANDE S.A.")</f>
        <v>MCC MINERA SIERRA GRANDE S.A.</v>
      </c>
    </row>
    <row r="507" spans="4:5">
      <c r="D507" s="33" t="s">
        <v>155</v>
      </c>
      <c r="E507" s="33" t="str">
        <f ca="1">IFERROR(__xludf.DUMMYFUNCTION("""COMPUTED_VALUE"""),"MEDELE, Enrique Roberto")</f>
        <v>MEDELE, Enrique Roberto</v>
      </c>
    </row>
    <row r="508" spans="4:5">
      <c r="D508" s="33" t="s">
        <v>156</v>
      </c>
      <c r="E508" s="33" t="str">
        <f ca="1">IFERROR(__xludf.DUMMYFUNCTION("""COMPUTED_VALUE"""),"MÉNDEZ, Antonio Segundo")</f>
        <v>MÉNDEZ, Antonio Segundo</v>
      </c>
    </row>
    <row r="509" spans="4:5">
      <c r="D509" s="33" t="s">
        <v>157</v>
      </c>
      <c r="E509" s="33" t="str">
        <f ca="1">IFERROR(__xludf.DUMMYFUNCTION("""COMPUTED_VALUE"""),"MIGUEL, JUAN RAMÓN")</f>
        <v>MIGUEL, JUAN RAMÓN</v>
      </c>
    </row>
    <row r="510" spans="4:5">
      <c r="D510" s="33" t="s">
        <v>158</v>
      </c>
      <c r="E510" s="33" t="str">
        <f ca="1">IFERROR(__xludf.DUMMYFUNCTION("""COMPUTED_VALUE"""),"MINERA COMIRNA S.R.L.")</f>
        <v>MINERA COMIRNA S.R.L.</v>
      </c>
    </row>
    <row r="511" spans="4:5">
      <c r="D511" s="33" t="s">
        <v>159</v>
      </c>
      <c r="E511" s="33" t="str">
        <f ca="1">IFERROR(__xludf.DUMMYFUNCTION("""COMPUTED_VALUE"""),"MINERA J.C PIERUCCI E HIJOS S.R.L.")</f>
        <v>MINERA J.C PIERUCCI E HIJOS S.R.L.</v>
      </c>
    </row>
    <row r="512" spans="4:5">
      <c r="D512" s="33" t="s">
        <v>160</v>
      </c>
      <c r="E512" s="33" t="str">
        <f ca="1">IFERROR(__xludf.DUMMYFUNCTION("""COMPUTED_VALUE"""),"MINERA JOSE CHOLINO E HIJOS S.R.L")</f>
        <v>MINERA JOSE CHOLINO E HIJOS S.R.L</v>
      </c>
    </row>
    <row r="513" spans="4:5">
      <c r="D513" s="33" t="s">
        <v>161</v>
      </c>
      <c r="E513" s="33" t="str">
        <f ca="1">IFERROR(__xludf.DUMMYFUNCTION("""COMPUTED_VALUE"""),"MINERALES DEL SUR S.A.")</f>
        <v>MINERALES DEL SUR S.A.</v>
      </c>
    </row>
    <row r="514" spans="4:5">
      <c r="D514" s="33" t="s">
        <v>162</v>
      </c>
      <c r="E514" s="33" t="str">
        <f ca="1">IFERROR(__xludf.DUMMYFUNCTION("""COMPUTED_VALUE"""),"MINERALES PATAGONICOS S.A.")</f>
        <v>MINERALES PATAGONICOS S.A.</v>
      </c>
    </row>
    <row r="515" spans="4:5">
      <c r="D515" s="33" t="s">
        <v>163</v>
      </c>
      <c r="E515" s="33" t="str">
        <f ca="1">IFERROR(__xludf.DUMMYFUNCTION("""COMPUTED_VALUE"""),"MORAIS ÁNGEL MIGUEL")</f>
        <v>MORAIS ÁNGEL MIGUEL</v>
      </c>
    </row>
    <row r="516" spans="4:5">
      <c r="D516" s="33" t="s">
        <v>164</v>
      </c>
      <c r="E516" s="33" t="str">
        <f ca="1">IFERROR(__xludf.DUMMYFUNCTION("""COMPUTED_VALUE"""),"MUNICIPALIDAD DE CINCO SALTOS")</f>
        <v>MUNICIPALIDAD DE CINCO SALTOS</v>
      </c>
    </row>
    <row r="517" spans="4:5">
      <c r="D517" s="33" t="s">
        <v>165</v>
      </c>
      <c r="E517" s="33" t="str">
        <f ca="1">IFERROR(__xludf.DUMMYFUNCTION("""COMPUTED_VALUE"""),"MUNICIPALIDAD DE GENERAL ROCA")</f>
        <v>MUNICIPALIDAD DE GENERAL ROCA</v>
      </c>
    </row>
    <row r="518" spans="4:5">
      <c r="D518" s="33" t="s">
        <v>166</v>
      </c>
      <c r="E518" s="33" t="str">
        <f ca="1">IFERROR(__xludf.DUMMYFUNCTION("""COMPUTED_VALUE"""),"MUNICIPALIDAD DE SAN CARLOS DE BARILOCHE")</f>
        <v>MUNICIPALIDAD DE SAN CARLOS DE BARILOCHE</v>
      </c>
    </row>
    <row r="519" spans="4:5">
      <c r="D519" s="33" t="s">
        <v>167</v>
      </c>
      <c r="E519" s="33" t="str">
        <f ca="1">IFERROR(__xludf.DUMMYFUNCTION("""COMPUTED_VALUE"""),"MUÑOZ ANDRES LORENZO")</f>
        <v>MUÑOZ ANDRES LORENZO</v>
      </c>
    </row>
    <row r="520" spans="4:5">
      <c r="D520" s="33" t="s">
        <v>168</v>
      </c>
      <c r="E520" s="33" t="str">
        <f ca="1">IFERROR(__xludf.DUMMYFUNCTION("""COMPUTED_VALUE"""),"NCC CONSTRUCCIONES S.A.")</f>
        <v>NCC CONSTRUCCIONES S.A.</v>
      </c>
    </row>
    <row r="521" spans="4:5">
      <c r="D521" s="33" t="s">
        <v>169</v>
      </c>
      <c r="E521" s="33" t="str">
        <f ca="1">IFERROR(__xludf.DUMMYFUNCTION("""COMPUTED_VALUE"""),"ÑANCULEO, CARLOS MARIANO")</f>
        <v>ÑANCULEO, CARLOS MARIANO</v>
      </c>
    </row>
    <row r="522" spans="4:5">
      <c r="D522" s="33" t="s">
        <v>170</v>
      </c>
      <c r="E522" s="33" t="str">
        <f ca="1">IFERROR(__xludf.DUMMYFUNCTION("""COMPUTED_VALUE"""),"ÑANCULEO, Patricia Adela")</f>
        <v>ÑANCULEO, Patricia Adela</v>
      </c>
    </row>
    <row r="523" spans="4:5">
      <c r="D523" s="33" t="s">
        <v>171</v>
      </c>
      <c r="E523" s="33" t="str">
        <f ca="1">IFERROR(__xludf.DUMMYFUNCTION("""COMPUTED_VALUE"""),"OZAN JOSE CALAZANZ")</f>
        <v>OZAN JOSE CALAZANZ</v>
      </c>
    </row>
    <row r="524" spans="4:5">
      <c r="D524" s="33" t="s">
        <v>172</v>
      </c>
      <c r="E524" s="33" t="str">
        <f ca="1">IFERROR(__xludf.DUMMYFUNCTION("""COMPUTED_VALUE"""),"PAGLIALUNGA, SUSANA NORMA")</f>
        <v>PAGLIALUNGA, SUSANA NORMA</v>
      </c>
    </row>
    <row r="525" spans="4:5">
      <c r="D525" s="33" t="s">
        <v>173</v>
      </c>
      <c r="E525" s="33" t="str">
        <f ca="1">IFERROR(__xludf.DUMMYFUNCTION("""COMPUTED_VALUE"""),"PATAGONIA MINERALES S.R.L.")</f>
        <v>PATAGONIA MINERALES S.R.L.</v>
      </c>
    </row>
    <row r="526" spans="4:5">
      <c r="D526" s="33" t="s">
        <v>174</v>
      </c>
      <c r="E526" s="33" t="str">
        <f ca="1">IFERROR(__xludf.DUMMYFUNCTION("""COMPUTED_VALUE"""),"PATAGONIA STONE S.R.L.")</f>
        <v>PATAGONIA STONE S.R.L.</v>
      </c>
    </row>
    <row r="527" spans="4:5">
      <c r="D527" s="33" t="s">
        <v>175</v>
      </c>
      <c r="E527" s="33" t="str">
        <f ca="1">IFERROR(__xludf.DUMMYFUNCTION("""COMPUTED_VALUE"""),"PIÑEYRO HNOS. S.R.L.")</f>
        <v>PIÑEYRO HNOS. S.R.L.</v>
      </c>
    </row>
    <row r="528" spans="4:5">
      <c r="D528" s="33" t="s">
        <v>176</v>
      </c>
      <c r="E528" s="33" t="str">
        <f ca="1">IFERROR(__xludf.DUMMYFUNCTION("""COMPUTED_VALUE"""),"PRATI OSCAR EDUARDO")</f>
        <v>PRATI OSCAR EDUARDO</v>
      </c>
    </row>
    <row r="529" spans="4:5">
      <c r="D529" s="33" t="s">
        <v>177</v>
      </c>
      <c r="E529" s="33" t="str">
        <f ca="1">IFERROR(__xludf.DUMMYFUNCTION("""COMPUTED_VALUE"""),"PROINSAL S.A.I.C.")</f>
        <v>PROINSAL S.A.I.C.</v>
      </c>
    </row>
    <row r="530" spans="4:5">
      <c r="D530" s="33" t="s">
        <v>178</v>
      </c>
      <c r="E530" s="33" t="str">
        <f ca="1">IFERROR(__xludf.DUMMYFUNCTION("""COMPUTED_VALUE"""),"QUINCHAO ANTOLIN")</f>
        <v>QUINCHAO ANTOLIN</v>
      </c>
    </row>
    <row r="531" spans="4:5">
      <c r="D531" s="33" t="s">
        <v>179</v>
      </c>
      <c r="E531" s="33" t="str">
        <f ca="1">IFERROR(__xludf.DUMMYFUNCTION("""COMPUTED_VALUE"""),"QUINTANA JUAN MANUEL")</f>
        <v>QUINTANA JUAN MANUEL</v>
      </c>
    </row>
    <row r="532" spans="4:5">
      <c r="D532" s="33" t="s">
        <v>180</v>
      </c>
      <c r="E532" s="33" t="str">
        <f ca="1">IFERROR(__xludf.DUMMYFUNCTION("""COMPUTED_VALUE"""),"QUINTANA JULIO CÉSAR")</f>
        <v>QUINTANA JULIO CÉSAR</v>
      </c>
    </row>
    <row r="533" spans="4:5">
      <c r="D533" s="33" t="s">
        <v>181</v>
      </c>
      <c r="E533" s="33" t="str">
        <f ca="1">IFERROR(__xludf.DUMMYFUNCTION("""COMPUTED_VALUE"""),"RIO SERGIO GUSTAVO")</f>
        <v>RIO SERGIO GUSTAVO</v>
      </c>
    </row>
    <row r="534" spans="4:5">
      <c r="D534" s="33" t="s">
        <v>182</v>
      </c>
      <c r="E534" s="33" t="str">
        <f ca="1">IFERROR(__xludf.DUMMYFUNCTION("""COMPUTED_VALUE"""),"RODAN S.A.")</f>
        <v>RODAN S.A.</v>
      </c>
    </row>
    <row r="535" spans="4:5">
      <c r="D535" s="33" t="s">
        <v>183</v>
      </c>
      <c r="E535" s="33" t="str">
        <f ca="1">IFERROR(__xludf.DUMMYFUNCTION("""COMPUTED_VALUE"""),"RODRIGUEZ JUAN DE DIOS")</f>
        <v>RODRIGUEZ JUAN DE DIOS</v>
      </c>
    </row>
    <row r="536" spans="4:5">
      <c r="D536" s="33" t="s">
        <v>184</v>
      </c>
      <c r="E536" s="33" t="str">
        <f ca="1">IFERROR(__xludf.DUMMYFUNCTION("""COMPUTED_VALUE"""),"ROMAN ANGEL GUMERCINDO - PALLAORO, NICOLA")</f>
        <v>ROMAN ANGEL GUMERCINDO - PALLAORO, NICOLA</v>
      </c>
    </row>
    <row r="537" spans="4:5">
      <c r="D537" s="33" t="s">
        <v>185</v>
      </c>
      <c r="E537" s="33" t="str">
        <f ca="1">IFERROR(__xludf.DUMMYFUNCTION("""COMPUTED_VALUE"""),"RUIZ DIAZ, MIGUEL ANGEL")</f>
        <v>RUIZ DIAZ, MIGUEL ANGEL</v>
      </c>
    </row>
    <row r="538" spans="4:5">
      <c r="D538" s="33" t="s">
        <v>186</v>
      </c>
      <c r="E538" s="33" t="str">
        <f ca="1">IFERROR(__xludf.DUMMYFUNCTION("""COMPUTED_VALUE"""),"SEISPA S.A.")</f>
        <v>SEISPA S.A.</v>
      </c>
    </row>
    <row r="539" spans="4:5">
      <c r="D539" s="33" t="s">
        <v>187</v>
      </c>
      <c r="E539" s="33" t="str">
        <f ca="1">IFERROR(__xludf.DUMMYFUNCTION("""COMPUTED_VALUE"""),"SEPULVEDA MANUEL OMAR")</f>
        <v>SEPULVEDA MANUEL OMAR</v>
      </c>
    </row>
    <row r="540" spans="4:5">
      <c r="D540" s="33" t="s">
        <v>188</v>
      </c>
      <c r="E540" s="33" t="str">
        <f ca="1">IFERROR(__xludf.DUMMYFUNCTION("""COMPUTED_VALUE"""),"SOL MINERALES Y SERVICIOS S.A.")</f>
        <v>SOL MINERALES Y SERVICIOS S.A.</v>
      </c>
    </row>
    <row r="541" spans="4:5">
      <c r="D541" s="33" t="s">
        <v>189</v>
      </c>
      <c r="E541" s="33" t="str">
        <f ca="1">IFERROR(__xludf.DUMMYFUNCTION("""COMPUTED_VALUE"""),"SOLA, REINALDO")</f>
        <v>SOLA, REINALDO</v>
      </c>
    </row>
    <row r="542" spans="4:5">
      <c r="D542" s="33" t="s">
        <v>190</v>
      </c>
      <c r="E542" s="33" t="str">
        <f ca="1">IFERROR(__xludf.DUMMYFUNCTION("""COMPUTED_VALUE"""),"SORBELLINI, EDUARDO CÉSAR")</f>
        <v>SORBELLINI, EDUARDO CÉSAR</v>
      </c>
    </row>
    <row r="543" spans="4:5">
      <c r="D543" s="33" t="s">
        <v>191</v>
      </c>
      <c r="E543" s="33" t="str">
        <f ca="1">IFERROR(__xludf.DUMMYFUNCTION("""COMPUTED_VALUE"""),"SORIA, LUIS MIGUEL")</f>
        <v>SORIA, LUIS MIGUEL</v>
      </c>
    </row>
    <row r="544" spans="4:5">
      <c r="D544" s="33" t="s">
        <v>192</v>
      </c>
      <c r="E544" s="33" t="str">
        <f ca="1">IFERROR(__xludf.DUMMYFUNCTION("""COMPUTED_VALUE"""),"SOTO, RAÚL")</f>
        <v>SOTO, RAÚL</v>
      </c>
    </row>
    <row r="545" spans="4:5">
      <c r="D545" s="33" t="s">
        <v>193</v>
      </c>
      <c r="E545" s="33" t="str">
        <f ca="1">IFERROR(__xludf.DUMMYFUNCTION("""COMPUTED_VALUE"""),"SUCESION ALBERTO DANILO ALANIS")</f>
        <v>SUCESION ALBERTO DANILO ALANIS</v>
      </c>
    </row>
    <row r="546" spans="4:5">
      <c r="D546" s="33" t="s">
        <v>194</v>
      </c>
      <c r="E546" s="33" t="str">
        <f ca="1">IFERROR(__xludf.DUMMYFUNCTION("""COMPUTED_VALUE"""),"SUCESION de SOULE CANAU, MARTÍN")</f>
        <v>SUCESION de SOULE CANAU, MARTÍN</v>
      </c>
    </row>
    <row r="547" spans="4:5">
      <c r="D547" s="33" t="s">
        <v>195</v>
      </c>
      <c r="E547" s="33" t="str">
        <f ca="1">IFERROR(__xludf.DUMMYFUNCTION("""COMPUTED_VALUE"""),"SUCESION MARTIN AVENDAÑO")</f>
        <v>SUCESION MARTIN AVENDAÑO</v>
      </c>
    </row>
    <row r="548" spans="4:5">
      <c r="D548" s="33" t="s">
        <v>196</v>
      </c>
      <c r="E548" s="33" t="str">
        <f ca="1">IFERROR(__xludf.DUMMYFUNCTION("""COMPUTED_VALUE"""),"TERUEL MARIA")</f>
        <v>TERUEL MARIA</v>
      </c>
    </row>
    <row r="549" spans="4:5">
      <c r="D549" s="33" t="s">
        <v>197</v>
      </c>
      <c r="E549" s="33" t="str">
        <f ca="1">IFERROR(__xludf.DUMMYFUNCTION("""COMPUTED_VALUE"""),"TIERRAS CALAMARA S.R.L.")</f>
        <v>TIERRAS CALAMARA S.R.L.</v>
      </c>
    </row>
    <row r="550" spans="4:5">
      <c r="D550" s="33" t="s">
        <v>198</v>
      </c>
      <c r="E550" s="33" t="str">
        <f ca="1">IFERROR(__xludf.DUMMYFUNCTION("""COMPUTED_VALUE"""),"TILLERIA NESTOR ANTONIO")</f>
        <v>TILLERIA NESTOR ANTONIO</v>
      </c>
    </row>
    <row r="551" spans="4:5">
      <c r="D551" s="33" t="s">
        <v>199</v>
      </c>
      <c r="E551" s="33" t="str">
        <f ca="1">IFERROR(__xludf.DUMMYFUNCTION("""COMPUTED_VALUE"""),"UNIPAR INDUPA SAIC")</f>
        <v>UNIPAR INDUPA SAIC</v>
      </c>
    </row>
    <row r="552" spans="4:5">
      <c r="D552" s="33" t="s">
        <v>200</v>
      </c>
      <c r="E552" s="33" t="str">
        <f ca="1">IFERROR(__xludf.DUMMYFUNCTION("""COMPUTED_VALUE"""),"VASILCHIN GUSTAVO RODOLFO")</f>
        <v>VASILCHIN GUSTAVO RODOLFO</v>
      </c>
    </row>
    <row r="553" spans="4:5">
      <c r="D553" s="33" t="s">
        <v>201</v>
      </c>
      <c r="E553" s="33" t="str">
        <f ca="1">IFERROR(__xludf.DUMMYFUNCTION("""COMPUTED_VALUE"""),"VILLAFAÑE ALBA SOLER")</f>
        <v>VILLAFAÑE ALBA SOLER</v>
      </c>
    </row>
    <row r="554" spans="4:5">
      <c r="D554" s="33" t="s">
        <v>202</v>
      </c>
      <c r="E554" s="33" t="str">
        <f ca="1">IFERROR(__xludf.DUMMYFUNCTION("""COMPUTED_VALUE"""),"YURCICH, JUAN CARLOS")</f>
        <v>YURCICH, JUAN CARLOS</v>
      </c>
    </row>
    <row r="555" spans="4:5">
      <c r="D555" s="33" t="s">
        <v>203</v>
      </c>
      <c r="E555" s="33" t="str">
        <f ca="1">IFERROR(__xludf.DUMMYFUNCTION("""COMPUTED_VALUE"""),"ZOPPI HNOS. S.A.C.E.I.")</f>
        <v>ZOPPI HNOS. S.A.C.E.I.</v>
      </c>
    </row>
    <row r="556" spans="4:5">
      <c r="D556" s="33" t="s">
        <v>204</v>
      </c>
      <c r="E556" s="33" t="str">
        <f ca="1">IFERROR(__xludf.DUMMYFUNCTION("""COMPUTED_VALUE"""),"CRISTAMINE S.A.")</f>
        <v>CRISTAMINE S.A.</v>
      </c>
    </row>
    <row r="557" spans="4:5">
      <c r="D557" s="33" t="s">
        <v>205</v>
      </c>
      <c r="E557" s="33" t="str">
        <f ca="1">IFERROR(__xludf.DUMMYFUNCTION("""COMPUTED_VALUE"""),"TECNOMINERALES S.R.L.")</f>
        <v>TECNOMINERALES S.R.L.</v>
      </c>
    </row>
    <row r="558" spans="4:5">
      <c r="D558" s="33" t="s">
        <v>206</v>
      </c>
      <c r="E558" s="33" t="str">
        <f ca="1">IFERROR(__xludf.DUMMYFUNCTION("""COMPUTED_VALUE"""),"SCARFIELLO NESTOR ADRIAN")</f>
        <v>SCARFIELLO NESTOR ADRIAN</v>
      </c>
    </row>
    <row r="559" spans="4:5">
      <c r="D559" s="33" t="s">
        <v>207</v>
      </c>
      <c r="E559" s="33" t="str">
        <f ca="1">IFERROR(__xludf.DUMMYFUNCTION("""COMPUTED_VALUE"""),"VAGNONI NAZARENO GABRIEL")</f>
        <v>VAGNONI NAZARENO GABRIEL</v>
      </c>
    </row>
    <row r="560" spans="4:5">
      <c r="D560" s="33" t="s">
        <v>208</v>
      </c>
      <c r="E560" s="33" t="str">
        <f ca="1">IFERROR(__xludf.DUMMYFUNCTION("""COMPUTED_VALUE"""),"CANTERAS CERRO NEGRO S.A.")</f>
        <v>CANTERAS CERRO NEGRO S.A.</v>
      </c>
    </row>
    <row r="561" spans="4:5">
      <c r="D561" s="33" t="s">
        <v>209</v>
      </c>
      <c r="E561" s="33" t="str">
        <f ca="1">IFERROR(__xludf.DUMMYFUNCTION("""COMPUTED_VALUE"""),"ECONAT S.A.")</f>
        <v>ECONAT S.A.</v>
      </c>
    </row>
    <row r="562" spans="4:5">
      <c r="D562" s="33" t="s">
        <v>210</v>
      </c>
      <c r="E562" s="33" t="str">
        <f ca="1">IFERROR(__xludf.DUMMYFUNCTION("""COMPUTED_VALUE"""),"ALUVIONAL LOGÍSTICA S.A.")</f>
        <v>ALUVIONAL LOGÍSTICA S.A.</v>
      </c>
    </row>
    <row r="563" spans="4:5">
      <c r="D563" s="33" t="s">
        <v>211</v>
      </c>
      <c r="E563" s="33" t="str">
        <f ca="1">IFERROR(__xludf.DUMMYFUNCTION("""COMPUTED_VALUE"""),"Metalúrgica Alto Valle S.A.")</f>
        <v>Metalúrgica Alto Valle S.A.</v>
      </c>
    </row>
    <row r="564" spans="4:5">
      <c r="D564" s="33" t="s">
        <v>212</v>
      </c>
      <c r="E564" s="33" t="str">
        <f ca="1">IFERROR(__xludf.DUMMYFUNCTION("""COMPUTED_VALUE"""),"EXPOFRUT ARGENTINA S.A.")</f>
        <v>EXPOFRUT ARGENTINA S.A.</v>
      </c>
    </row>
    <row r="565" spans="4:5">
      <c r="D565" s="33" t="s">
        <v>213</v>
      </c>
      <c r="E565" s="33" t="str">
        <f ca="1">IFERROR(__xludf.DUMMYFUNCTION("""COMPUTED_VALUE"""),"Packey S.A.")</f>
        <v>Packey S.A.</v>
      </c>
    </row>
    <row r="566" spans="4:5">
      <c r="D566" s="33" t="s">
        <v>214</v>
      </c>
      <c r="E566" s="33" t="str">
        <f ca="1">IFERROR(__xludf.DUMMYFUNCTION("""COMPUTED_VALUE"""),"Standard Fruit Argentina S.A.")</f>
        <v>Standard Fruit Argentina S.A.</v>
      </c>
    </row>
    <row r="567" spans="4:5">
      <c r="D567" s="33" t="s">
        <v>215</v>
      </c>
      <c r="E567" s="33" t="str">
        <f ca="1">IFERROR(__xludf.DUMMYFUNCTION("""COMPUTED_VALUE"""),"Dole Patagonia S.A.")</f>
        <v>Dole Patagonia S.A.</v>
      </c>
    </row>
    <row r="568" spans="4:5">
      <c r="D568" s="33" t="s">
        <v>216</v>
      </c>
      <c r="E568" s="33" t="str">
        <f ca="1">IFERROR(__xludf.DUMMYFUNCTION("""COMPUTED_VALUE"""),"Droguería del Sud S.A.")</f>
        <v>Droguería del Sud S.A.</v>
      </c>
    </row>
    <row r="569" spans="4:5">
      <c r="D569" s="33" t="s">
        <v>217</v>
      </c>
      <c r="E569" s="33" t="str">
        <f ca="1">IFERROR(__xludf.DUMMYFUNCTION("""COMPUTED_VALUE"""),"Wal-Mart Argentina S.R.L.")</f>
        <v>Wal-Mart Argentina S.R.L.</v>
      </c>
    </row>
    <row r="570" spans="4:5">
      <c r="D570" s="33" t="s">
        <v>218</v>
      </c>
      <c r="E570" s="33" t="str">
        <f ca="1">IFERROR(__xludf.DUMMYFUNCTION("""COMPUTED_VALUE"""),"CIMSA S.R.L.")</f>
        <v>CIMSA S.R.L.</v>
      </c>
    </row>
    <row r="571" spans="4:5">
      <c r="D571" s="33" t="s">
        <v>219</v>
      </c>
      <c r="E571" s="33" t="str">
        <f ca="1">IFERROR(__xludf.DUMMYFUNCTION("""COMPUTED_VALUE"""),"El Fortín Construcciones S.R.L.")</f>
        <v>El Fortín Construcciones S.R.L.</v>
      </c>
    </row>
    <row r="572" spans="4:5">
      <c r="D572" s="33" t="s">
        <v>220</v>
      </c>
      <c r="E572" s="33" t="str">
        <f ca="1">IFERROR(__xludf.DUMMYFUNCTION("""COMPUTED_VALUE"""),"EQUIMAC S.A.C.I.F.E.I.")</f>
        <v>EQUIMAC S.A.C.I.F.E.I.</v>
      </c>
    </row>
    <row r="573" spans="4:5">
      <c r="D573" s="33" t="s">
        <v>221</v>
      </c>
      <c r="E573" s="33" t="str">
        <f ca="1">IFERROR(__xludf.DUMMYFUNCTION("""COMPUTED_VALUE"""),"IDUN Agroenergía S.A.")</f>
        <v>IDUN Agroenergía S.A.</v>
      </c>
    </row>
    <row r="574" spans="4:5">
      <c r="D574" s="33" t="s">
        <v>222</v>
      </c>
      <c r="E574" s="33" t="str">
        <f ca="1">IFERROR(__xludf.DUMMYFUNCTION("""COMPUTED_VALUE"""),"Sáenz Briones y Cía. S.A.")</f>
        <v>Sáenz Briones y Cía. S.A.</v>
      </c>
    </row>
    <row r="575" spans="4:5">
      <c r="D575" s="33" t="s">
        <v>223</v>
      </c>
      <c r="E575" s="33" t="str">
        <f ca="1">IFERROR(__xludf.DUMMYFUNCTION("""COMPUTED_VALUE"""),"EVARSA S.R.L.")</f>
        <v>EVARSA S.R.L.</v>
      </c>
    </row>
    <row r="576" spans="4:5">
      <c r="D576" s="33" t="s">
        <v>224</v>
      </c>
      <c r="E576" s="33" t="str">
        <f ca="1">IFERROR(__xludf.DUMMYFUNCTION("""COMPUTED_VALUE"""),"Confluencia Fénix S.R.L.")</f>
        <v>Confluencia Fénix S.R.L.</v>
      </c>
    </row>
    <row r="577" spans="4:5">
      <c r="D577" s="33" t="s">
        <v>225</v>
      </c>
      <c r="E577" s="33" t="str">
        <f ca="1">IFERROR(__xludf.DUMMYFUNCTION("""COMPUTED_VALUE"""),"ATIS GROUP S.A.")</f>
        <v>ATIS GROUP S.A.</v>
      </c>
    </row>
    <row r="578" spans="4:5">
      <c r="D578" s="33" t="s">
        <v>226</v>
      </c>
      <c r="E578" s="33" t="str">
        <f ca="1">IFERROR(__xludf.DUMMYFUNCTION("""COMPUTED_VALUE"""),"TECNITERRA S.A.C.I.A.")</f>
        <v>TECNITERRA S.A.C.I.A.</v>
      </c>
    </row>
    <row r="579" spans="4:5">
      <c r="D579" s="33" t="s">
        <v>227</v>
      </c>
      <c r="E579" s="33" t="str">
        <f ca="1">IFERROR(__xludf.DUMMYFUNCTION("""COMPUTED_VALUE"""),"CHIMEN AIKE S.A.")</f>
        <v>CHIMEN AIKE S.A.</v>
      </c>
    </row>
    <row r="580" spans="4:5">
      <c r="D580" s="33" t="s">
        <v>228</v>
      </c>
      <c r="E580" s="33" t="str">
        <f ca="1">IFERROR(__xludf.DUMMYFUNCTION("""COMPUTED_VALUE"""),"LEIMAT S.A.")</f>
        <v>LEIMAT S.A.</v>
      </c>
    </row>
    <row r="581" spans="4:5">
      <c r="D581" s="33" t="s">
        <v>229</v>
      </c>
      <c r="E581" s="33" t="str">
        <f ca="1">IFERROR(__xludf.DUMMYFUNCTION("""COMPUTED_VALUE"""),"CELULOSA ALTO VALLE S.A.")</f>
        <v>CELULOSA ALTO VALLE S.A.</v>
      </c>
    </row>
    <row r="582" spans="4:5">
      <c r="D582" s="33" t="s">
        <v>230</v>
      </c>
      <c r="E582" s="33" t="str">
        <f ca="1">IFERROR(__xludf.DUMMYFUNCTION("""COMPUTED_VALUE"""),"CHOCON RENOVABLES S.A.")</f>
        <v>CHOCON RENOVABLES S.A.</v>
      </c>
    </row>
    <row r="583" spans="4:5">
      <c r="D583" s="33" t="s">
        <v>231</v>
      </c>
      <c r="E583" s="33" t="str">
        <f ca="1">IFERROR(__xludf.DUMMYFUNCTION("""COMPUTED_VALUE"""),"TECNOAGRO S.R.L.")</f>
        <v>TECNOAGRO S.R.L.</v>
      </c>
    </row>
    <row r="584" spans="4:5">
      <c r="D584" s="33" t="s">
        <v>232</v>
      </c>
      <c r="E584" s="33" t="str">
        <f ca="1">IFERROR(__xludf.DUMMYFUNCTION("""COMPUTED_VALUE"""),"Sysar Logistics S.A.")</f>
        <v>Sysar Logistics S.A.</v>
      </c>
    </row>
    <row r="585" spans="4:5">
      <c r="D585" s="33" t="s">
        <v>233</v>
      </c>
      <c r="E585" s="33" t="str">
        <f ca="1">IFERROR(__xludf.DUMMYFUNCTION("""COMPUTED_VALUE"""),"LP S.R.L.")</f>
        <v>LP S.R.L.</v>
      </c>
    </row>
    <row r="586" spans="4:5">
      <c r="D586" s="33" t="s">
        <v>234</v>
      </c>
      <c r="E586" s="33" t="str">
        <f ca="1">IFERROR(__xludf.DUMMYFUNCTION("""COMPUTED_VALUE"""),"FERROSUR ROCA S.A.")</f>
        <v>FERROSUR ROCA S.A.</v>
      </c>
    </row>
    <row r="587" spans="4:5">
      <c r="D587" s="33" t="s">
        <v>235</v>
      </c>
      <c r="E587" s="33" t="str">
        <f ca="1">IFERROR(__xludf.DUMMYFUNCTION("""COMPUTED_VALUE"""),"JOACHIM PODLESCH S.R.L.")</f>
        <v>JOACHIM PODLESCH S.R.L.</v>
      </c>
    </row>
    <row r="588" spans="4:5">
      <c r="D588" s="33" t="s">
        <v>236</v>
      </c>
      <c r="E588" s="33" t="str">
        <f ca="1">IFERROR(__xludf.DUMMYFUNCTION("""COMPUTED_VALUE"""),"FEBEL S.R.L.")</f>
        <v>FEBEL S.R.L.</v>
      </c>
    </row>
    <row r="589" spans="4:5">
      <c r="D589" s="33" t="s">
        <v>237</v>
      </c>
      <c r="E589" s="33" t="str">
        <f ca="1">IFERROR(__xludf.DUMMYFUNCTION("""COMPUTED_VALUE"""),"Granjeros del Valle S.R.L.")</f>
        <v>Granjeros del Valle S.R.L.</v>
      </c>
    </row>
    <row r="590" spans="4:5">
      <c r="D590" s="33" t="s">
        <v>238</v>
      </c>
      <c r="E590" s="33" t="str">
        <f ca="1">IFERROR(__xludf.DUMMYFUNCTION("""COMPUTED_VALUE"""),"FRUTICOLA MARTINEZ HNOS. S.A")</f>
        <v>FRUTICOLA MARTINEZ HNOS. S.A</v>
      </c>
    </row>
    <row r="591" spans="4:5">
      <c r="D591" s="33" t="s">
        <v>239</v>
      </c>
      <c r="E591" s="33" t="str">
        <f ca="1">IFERROR(__xludf.DUMMYFUNCTION("""COMPUTED_VALUE"""),"KARPA S.A.")</f>
        <v>KARPA S.A.</v>
      </c>
    </row>
    <row r="592" spans="4:5">
      <c r="D592" s="33" t="s">
        <v>240</v>
      </c>
      <c r="E592" s="33" t="str">
        <f ca="1">IFERROR(__xludf.DUMMYFUNCTION("""COMPUTED_VALUE"""),"GTC GROUP S.R.L.")</f>
        <v>GTC GROUP S.R.L.</v>
      </c>
    </row>
    <row r="593" spans="4:5">
      <c r="D593" s="33" t="s">
        <v>241</v>
      </c>
      <c r="E593" s="33" t="str">
        <f ca="1">IFERROR(__xludf.DUMMYFUNCTION("""COMPUTED_VALUE"""),"GREENCOR S.A.")</f>
        <v>GREENCOR S.A.</v>
      </c>
    </row>
    <row r="594" spans="4:5">
      <c r="D594" s="33" t="s">
        <v>242</v>
      </c>
      <c r="E594" s="33" t="str">
        <f ca="1">IFERROR(__xludf.DUMMYFUNCTION("""COMPUTED_VALUE"""),"COOPERATIVA FRUTIORO LIMITADA")</f>
        <v>COOPERATIVA FRUTIORO LIMITADA</v>
      </c>
    </row>
    <row r="595" spans="4:5">
      <c r="D595" s="33" t="s">
        <v>243</v>
      </c>
      <c r="E595" s="33" t="str">
        <f ca="1">IFERROR(__xludf.DUMMYFUNCTION("""COMPUTED_VALUE"""),"CARONTIS S.A.")</f>
        <v>CARONTIS S.A.</v>
      </c>
    </row>
    <row r="596" spans="4:5">
      <c r="D596" s="33" t="s">
        <v>244</v>
      </c>
      <c r="E596" s="33" t="str">
        <f ca="1">IFERROR(__xludf.DUMMYFUNCTION("""COMPUTED_VALUE"""),"SOMARUGA AGRO S.A.")</f>
        <v>SOMARUGA AGRO S.A.</v>
      </c>
    </row>
    <row r="597" spans="4:5">
      <c r="D597" s="33" t="s">
        <v>245</v>
      </c>
      <c r="E597" s="33" t="str">
        <f ca="1">IFERROR(__xludf.DUMMYFUNCTION("""COMPUTED_VALUE"""),"ENRIQUE V SQUARTINI Y CIA S.R.L.")</f>
        <v>ENRIQUE V SQUARTINI Y CIA S.R.L.</v>
      </c>
    </row>
    <row r="598" spans="4:5">
      <c r="D598" s="33" t="s">
        <v>246</v>
      </c>
      <c r="E598" s="33" t="str">
        <f ca="1">IFERROR(__xludf.DUMMYFUNCTION("""COMPUTED_VALUE"""),"OVINTO S.A.")</f>
        <v>OVINTO S.A.</v>
      </c>
    </row>
    <row r="599" spans="4:5">
      <c r="D599" s="33" t="s">
        <v>247</v>
      </c>
      <c r="E599" s="33" t="str">
        <f ca="1">IFERROR(__xludf.DUMMYFUNCTION("""COMPUTED_VALUE"""),"LA ASTURIANA S.A.I.C.")</f>
        <v>LA ASTURIANA S.A.I.C.</v>
      </c>
    </row>
    <row r="600" spans="4:5">
      <c r="D600" s="33" t="s">
        <v>248</v>
      </c>
      <c r="E600" s="33" t="str">
        <f ca="1">IFERROR(__xludf.DUMMYFUNCTION("""COMPUTED_VALUE"""),"NATURAL JUICE S.A.")</f>
        <v>NATURAL JUICE S.A.</v>
      </c>
    </row>
    <row r="601" spans="4:5">
      <c r="D601" s="33" t="s">
        <v>249</v>
      </c>
      <c r="E601" s="33" t="str">
        <f ca="1">IFERROR(__xludf.DUMMYFUNCTION("""COMPUTED_VALUE"""),"JUGOS S.A.")</f>
        <v>JUGOS S.A.</v>
      </c>
    </row>
    <row r="602" spans="4:5">
      <c r="D602" s="33" t="s">
        <v>250</v>
      </c>
      <c r="E602" s="33" t="str">
        <f ca="1">IFERROR(__xludf.DUMMYFUNCTION("""COMPUTED_VALUE"""),"PEQUEÑA DESTILERÍA ARGENTINA S.A.")</f>
        <v>PEQUEÑA DESTILERÍA ARGENTINA S.A.</v>
      </c>
    </row>
    <row r="603" spans="4:5">
      <c r="D603" s="33" t="s">
        <v>251</v>
      </c>
      <c r="E603" s="33" t="str">
        <f ca="1">IFERROR(__xludf.DUMMYFUNCTION("""COMPUTED_VALUE"""),"CARNES RIONEGRINAS S.R.L.")</f>
        <v>CARNES RIONEGRINAS S.R.L.</v>
      </c>
    </row>
    <row r="604" spans="4:5">
      <c r="D604" s="33" t="s">
        <v>252</v>
      </c>
      <c r="E604" s="33" t="str">
        <f ca="1">IFERROR(__xludf.DUMMYFUNCTION("""COMPUTED_VALUE"""),"Municipalidad de Bariloche")</f>
        <v>Municipalidad de Bariloche</v>
      </c>
    </row>
    <row r="605" spans="4:5">
      <c r="D605" s="33" t="s">
        <v>253</v>
      </c>
      <c r="E605" s="33" t="str">
        <f ca="1">IFERROR(__xludf.DUMMYFUNCTION("""COMPUTED_VALUE"""),"Municipalidad de El Bolsón")</f>
        <v>Municipalidad de El Bolsón</v>
      </c>
    </row>
    <row r="606" spans="4:5">
      <c r="D606" s="33" t="s">
        <v>254</v>
      </c>
      <c r="E606" s="33" t="str">
        <f ca="1">IFERROR(__xludf.DUMMYFUNCTION("""COMPUTED_VALUE"""),"Municipalidad de Dina Huapi")</f>
        <v>Municipalidad de Dina Huapi</v>
      </c>
    </row>
    <row r="607" spans="4:5">
      <c r="D607" s="33" t="s">
        <v>255</v>
      </c>
      <c r="E607" s="33" t="str">
        <f ca="1">IFERROR(__xludf.DUMMYFUNCTION("""COMPUTED_VALUE"""),"Municipalidad de Pilcaniyeu")</f>
        <v>Municipalidad de Pilcaniyeu</v>
      </c>
    </row>
    <row r="608" spans="4:5">
      <c r="D608" s="33" t="s">
        <v>256</v>
      </c>
      <c r="E608" s="33" t="str">
        <f ca="1">IFERROR(__xludf.DUMMYFUNCTION("""COMPUTED_VALUE"""),"Municipalidad de San Antonio Oeste")</f>
        <v>Municipalidad de San Antonio Oeste</v>
      </c>
    </row>
    <row r="609" spans="4:5">
      <c r="D609" s="33" t="s">
        <v>257</v>
      </c>
      <c r="E609" s="33" t="str">
        <f ca="1">IFERROR(__xludf.DUMMYFUNCTION("""COMPUTED_VALUE"""),"Municipalidad de Sierra Grande")</f>
        <v>Municipalidad de Sierra Grande</v>
      </c>
    </row>
    <row r="610" spans="4:5">
      <c r="D610" s="33" t="s">
        <v>258</v>
      </c>
      <c r="E610" s="33" t="str">
        <f ca="1">IFERROR(__xludf.DUMMYFUNCTION("""COMPUTED_VALUE"""),"Municipalidad de Viedma")</f>
        <v>Municipalidad de Viedma</v>
      </c>
    </row>
    <row r="611" spans="4:5">
      <c r="D611" s="33" t="s">
        <v>259</v>
      </c>
      <c r="E611" s="33" t="str">
        <f ca="1">IFERROR(__xludf.DUMMYFUNCTION("""COMPUTED_VALUE"""),"Municipalidad de Coronel Belisle")</f>
        <v>Municipalidad de Coronel Belisle</v>
      </c>
    </row>
    <row r="612" spans="4:5">
      <c r="D612" s="33" t="s">
        <v>260</v>
      </c>
      <c r="E612" s="33" t="str">
        <f ca="1">IFERROR(__xludf.DUMMYFUNCTION("""COMPUTED_VALUE"""),"Municipalidad de Luis Beltrán")</f>
        <v>Municipalidad de Luis Beltrán</v>
      </c>
    </row>
    <row r="613" spans="4:5">
      <c r="D613" s="33" t="s">
        <v>261</v>
      </c>
      <c r="E613" s="33" t="str">
        <f ca="1">IFERROR(__xludf.DUMMYFUNCTION("""COMPUTED_VALUE"""),"Municipalidad de Chimpay")</f>
        <v>Municipalidad de Chimpay</v>
      </c>
    </row>
    <row r="614" spans="4:5">
      <c r="D614" s="33" t="s">
        <v>262</v>
      </c>
      <c r="E614" s="33" t="str">
        <f ca="1">IFERROR(__xludf.DUMMYFUNCTION("""COMPUTED_VALUE"""),"Municipalidad de Choele Choel")</f>
        <v>Municipalidad de Choele Choel</v>
      </c>
    </row>
    <row r="615" spans="4:5">
      <c r="D615" s="33" t="s">
        <v>263</v>
      </c>
      <c r="E615" s="33" t="str">
        <f ca="1">IFERROR(__xludf.DUMMYFUNCTION("""COMPUTED_VALUE"""),"Municipalidad de Gral. Conesa")</f>
        <v>Municipalidad de Gral. Conesa</v>
      </c>
    </row>
    <row r="616" spans="4:5">
      <c r="D616" s="33" t="s">
        <v>264</v>
      </c>
      <c r="E616" s="33" t="str">
        <f ca="1">IFERROR(__xludf.DUMMYFUNCTION("""COMPUTED_VALUE"""),"Municipalidad de Darwin")</f>
        <v>Municipalidad de Darwin</v>
      </c>
    </row>
    <row r="617" spans="4:5">
      <c r="D617" s="33" t="s">
        <v>265</v>
      </c>
      <c r="E617" s="33" t="str">
        <f ca="1">IFERROR(__xludf.DUMMYFUNCTION("""COMPUTED_VALUE"""),"Municipalidad de Guardia Mitre")</f>
        <v>Municipalidad de Guardia Mitre</v>
      </c>
    </row>
    <row r="618" spans="4:5">
      <c r="D618" s="33" t="s">
        <v>266</v>
      </c>
      <c r="E618" s="33" t="str">
        <f ca="1">IFERROR(__xludf.DUMMYFUNCTION("""COMPUTED_VALUE"""),"Municipalidad de Lamarque")</f>
        <v>Municipalidad de Lamarque</v>
      </c>
    </row>
    <row r="619" spans="4:5">
      <c r="D619" s="33" t="s">
        <v>267</v>
      </c>
      <c r="E619" s="33" t="str">
        <f ca="1">IFERROR(__xludf.DUMMYFUNCTION("""COMPUTED_VALUE"""),"Municipalidad de Pomona")</f>
        <v>Municipalidad de Pomona</v>
      </c>
    </row>
    <row r="620" spans="4:5">
      <c r="D620" s="33" t="s">
        <v>268</v>
      </c>
      <c r="E620" s="33" t="str">
        <f ca="1">IFERROR(__xludf.DUMMYFUNCTION("""COMPUTED_VALUE"""),"Municipalidad de Río Colorado")</f>
        <v>Municipalidad de Río Colorado</v>
      </c>
    </row>
    <row r="621" spans="4:5">
      <c r="D621" s="33" t="s">
        <v>269</v>
      </c>
      <c r="E621" s="33" t="str">
        <f ca="1">IFERROR(__xludf.DUMMYFUNCTION("""COMPUTED_VALUE"""),"Municipalidad de Chichinales")</f>
        <v>Municipalidad de Chichinales</v>
      </c>
    </row>
    <row r="622" spans="4:5">
      <c r="D622" s="33" t="s">
        <v>270</v>
      </c>
      <c r="E622" s="33" t="str">
        <f ca="1">IFERROR(__xludf.DUMMYFUNCTION("""COMPUTED_VALUE"""),"Municipalidad de Gral. Godoy")</f>
        <v>Municipalidad de Gral. Godoy</v>
      </c>
    </row>
    <row r="623" spans="4:5">
      <c r="D623" s="33" t="s">
        <v>271</v>
      </c>
      <c r="E623" s="33" t="str">
        <f ca="1">IFERROR(__xludf.DUMMYFUNCTION("""COMPUTED_VALUE"""),"Municipalidad de Ingeniero Huergo")</f>
        <v>Municipalidad de Ingeniero Huergo</v>
      </c>
    </row>
    <row r="624" spans="4:5">
      <c r="D624" s="33" t="s">
        <v>272</v>
      </c>
      <c r="E624" s="33" t="str">
        <f ca="1">IFERROR(__xludf.DUMMYFUNCTION("""COMPUTED_VALUE"""),"Municipalidad de Mainqué")</f>
        <v>Municipalidad de Mainqué</v>
      </c>
    </row>
    <row r="625" spans="4:5">
      <c r="D625" s="33" t="s">
        <v>273</v>
      </c>
      <c r="E625" s="33" t="str">
        <f ca="1">IFERROR(__xludf.DUMMYFUNCTION("""COMPUTED_VALUE"""),"Municipalidad de Villa Regina")</f>
        <v>Municipalidad de Villa Regina</v>
      </c>
    </row>
    <row r="626" spans="4:5">
      <c r="D626" s="33" t="s">
        <v>274</v>
      </c>
      <c r="E626" s="33" t="str">
        <f ca="1">IFERROR(__xludf.DUMMYFUNCTION("""COMPUTED_VALUE"""),"Municipalidad de Allen")</f>
        <v>Municipalidad de Allen</v>
      </c>
    </row>
    <row r="627" spans="4:5">
      <c r="D627" s="33" t="s">
        <v>275</v>
      </c>
      <c r="E627" s="33" t="str">
        <f ca="1">IFERROR(__xludf.DUMMYFUNCTION("""COMPUTED_VALUE"""),"Municipalidad de Gral. Roca")</f>
        <v>Municipalidad de Gral. Roca</v>
      </c>
    </row>
    <row r="628" spans="4:5">
      <c r="D628" s="33" t="s">
        <v>276</v>
      </c>
      <c r="E628" s="33" t="str">
        <f ca="1">IFERROR(__xludf.DUMMYFUNCTION("""COMPUTED_VALUE"""),"Municipalidad de Campo Grande")</f>
        <v>Municipalidad de Campo Grande</v>
      </c>
    </row>
    <row r="629" spans="4:5">
      <c r="D629" s="33" t="s">
        <v>277</v>
      </c>
      <c r="E629" s="33" t="str">
        <f ca="1">IFERROR(__xludf.DUMMYFUNCTION("""COMPUTED_VALUE"""),"Municipalidad de Catriel")</f>
        <v>Municipalidad de Catriel</v>
      </c>
    </row>
    <row r="630" spans="4:5">
      <c r="D630" s="33" t="s">
        <v>278</v>
      </c>
      <c r="E630" s="33" t="str">
        <f ca="1">IFERROR(__xludf.DUMMYFUNCTION("""COMPUTED_VALUE"""),"Municipalidad de Cinco Saltos")</f>
        <v>Municipalidad de Cinco Saltos</v>
      </c>
    </row>
    <row r="631" spans="4:5">
      <c r="D631" s="33" t="s">
        <v>279</v>
      </c>
      <c r="E631" s="33" t="str">
        <f ca="1">IFERROR(__xludf.DUMMYFUNCTION("""COMPUTED_VALUE"""),"Municipalidad de Contralmirante Cordero")</f>
        <v>Municipalidad de Contralmirante Cordero</v>
      </c>
    </row>
    <row r="632" spans="4:5">
      <c r="D632" s="33" t="s">
        <v>280</v>
      </c>
      <c r="E632" s="33" t="str">
        <f ca="1">IFERROR(__xludf.DUMMYFUNCTION("""COMPUTED_VALUE"""),"Municipalidad de Gral. Fernández Oro")</f>
        <v>Municipalidad de Gral. Fernández Oro</v>
      </c>
    </row>
    <row r="633" spans="4:5">
      <c r="D633" s="33" t="s">
        <v>281</v>
      </c>
      <c r="E633" s="33" t="str">
        <f ca="1">IFERROR(__xludf.DUMMYFUNCTION("""COMPUTED_VALUE"""),"Municipalidad de Comallo")</f>
        <v>Municipalidad de Comallo</v>
      </c>
    </row>
    <row r="634" spans="4:5">
      <c r="D634" s="33" t="s">
        <v>282</v>
      </c>
      <c r="E634" s="33" t="str">
        <f ca="1">IFERROR(__xludf.DUMMYFUNCTION("""COMPUTED_VALUE"""),"Municipalidad de Ing. Jacobacci")</f>
        <v>Municipalidad de Ing. Jacobacci</v>
      </c>
    </row>
    <row r="635" spans="4:5">
      <c r="D635" s="33" t="s">
        <v>283</v>
      </c>
      <c r="E635" s="33" t="str">
        <f ca="1">IFERROR(__xludf.DUMMYFUNCTION("""COMPUTED_VALUE"""),"Municipalidad de Maquinchao")</f>
        <v>Municipalidad de Maquinchao</v>
      </c>
    </row>
    <row r="636" spans="4:5">
      <c r="D636" s="33" t="s">
        <v>284</v>
      </c>
      <c r="E636" s="33" t="str">
        <f ca="1">IFERROR(__xludf.DUMMYFUNCTION("""COMPUTED_VALUE"""),"Municipalidad de Los Menucos")</f>
        <v>Municipalidad de Los Menucos</v>
      </c>
    </row>
    <row r="637" spans="4:5">
      <c r="D637" s="33" t="s">
        <v>285</v>
      </c>
      <c r="E637" s="33" t="str">
        <f ca="1">IFERROR(__xludf.DUMMYFUNCTION("""COMPUTED_VALUE"""),"Municipalidad de Ñorquinco")</f>
        <v>Municipalidad de Ñorquinco</v>
      </c>
    </row>
    <row r="638" spans="4:5">
      <c r="D638" s="33" t="s">
        <v>286</v>
      </c>
      <c r="E638" s="33" t="str">
        <f ca="1">IFERROR(__xludf.DUMMYFUNCTION("""COMPUTED_VALUE"""),"Municipalidad de Ramos Mexía")</f>
        <v>Municipalidad de Ramos Mexía</v>
      </c>
    </row>
    <row r="639" spans="4:5">
      <c r="D639" s="33" t="s">
        <v>287</v>
      </c>
      <c r="E639" s="33" t="str">
        <f ca="1">IFERROR(__xludf.DUMMYFUNCTION("""COMPUTED_VALUE"""),"Municipalidad de Sierra Colorada")</f>
        <v>Municipalidad de Sierra Colorada</v>
      </c>
    </row>
    <row r="640" spans="4:5">
      <c r="D640" s="33" t="s">
        <v>288</v>
      </c>
    </row>
    <row r="641" spans="4:4">
      <c r="D641" s="33" t="s">
        <v>289</v>
      </c>
    </row>
    <row r="642" spans="4:4">
      <c r="D642" s="33" t="s">
        <v>290</v>
      </c>
    </row>
    <row r="643" spans="4:4">
      <c r="D643" s="33" t="s">
        <v>291</v>
      </c>
    </row>
    <row r="644" spans="4:4">
      <c r="D644" s="33" t="s">
        <v>292</v>
      </c>
    </row>
    <row r="645" spans="4:4">
      <c r="D645" s="33" t="s">
        <v>293</v>
      </c>
    </row>
    <row r="646" spans="4:4">
      <c r="D646" s="33" t="s">
        <v>294</v>
      </c>
    </row>
    <row r="647" spans="4:4">
      <c r="D647" s="33" t="s">
        <v>295</v>
      </c>
    </row>
    <row r="648" spans="4:4">
      <c r="D648" s="33" t="s">
        <v>296</v>
      </c>
    </row>
    <row r="649" spans="4:4">
      <c r="D649" s="33" t="s">
        <v>297</v>
      </c>
    </row>
    <row r="650" spans="4:4">
      <c r="D650" s="33" t="s">
        <v>298</v>
      </c>
    </row>
    <row r="651" spans="4:4">
      <c r="D651" s="33" t="s">
        <v>299</v>
      </c>
    </row>
    <row r="652" spans="4:4">
      <c r="D652" s="33" t="s">
        <v>300</v>
      </c>
    </row>
    <row r="653" spans="4:4">
      <c r="D653" s="33" t="s">
        <v>301</v>
      </c>
    </row>
    <row r="654" spans="4:4">
      <c r="D654" s="33" t="s">
        <v>302</v>
      </c>
    </row>
    <row r="655" spans="4:4">
      <c r="D655" s="33" t="s">
        <v>303</v>
      </c>
    </row>
    <row r="656" spans="4:4">
      <c r="D656" s="33" t="s">
        <v>304</v>
      </c>
    </row>
    <row r="657" spans="4:4">
      <c r="D657" s="33" t="s">
        <v>305</v>
      </c>
    </row>
    <row r="658" spans="4:4">
      <c r="D658" s="33" t="s">
        <v>306</v>
      </c>
    </row>
    <row r="659" spans="4:4">
      <c r="D659" s="33" t="s">
        <v>307</v>
      </c>
    </row>
    <row r="660" spans="4:4">
      <c r="D660" s="33" t="s">
        <v>308</v>
      </c>
    </row>
    <row r="661" spans="4:4">
      <c r="D661" s="33" t="s">
        <v>309</v>
      </c>
    </row>
    <row r="662" spans="4:4">
      <c r="D662" s="33" t="s">
        <v>310</v>
      </c>
    </row>
    <row r="663" spans="4:4">
      <c r="D663" s="33" t="s">
        <v>311</v>
      </c>
    </row>
    <row r="664" spans="4:4">
      <c r="D664" s="33" t="s">
        <v>312</v>
      </c>
    </row>
    <row r="665" spans="4:4">
      <c r="D665" s="33" t="s">
        <v>313</v>
      </c>
    </row>
    <row r="666" spans="4:4">
      <c r="D666" s="33" t="s">
        <v>314</v>
      </c>
    </row>
    <row r="667" spans="4:4">
      <c r="D667" s="33" t="s">
        <v>315</v>
      </c>
    </row>
    <row r="668" spans="4:4">
      <c r="D668" s="33" t="s">
        <v>316</v>
      </c>
    </row>
    <row r="669" spans="4:4">
      <c r="D669" s="33" t="s">
        <v>317</v>
      </c>
    </row>
    <row r="670" spans="4:4">
      <c r="D670" s="33" t="s">
        <v>318</v>
      </c>
    </row>
    <row r="671" spans="4:4">
      <c r="D671" s="33" t="s">
        <v>319</v>
      </c>
    </row>
    <row r="672" spans="4:4">
      <c r="D672" s="33" t="s">
        <v>320</v>
      </c>
    </row>
    <row r="673" spans="4:4">
      <c r="D673" s="33" t="s">
        <v>321</v>
      </c>
    </row>
    <row r="674" spans="4:4">
      <c r="D674" s="33" t="s">
        <v>322</v>
      </c>
    </row>
    <row r="675" spans="4:4">
      <c r="D675" s="33" t="s">
        <v>323</v>
      </c>
    </row>
    <row r="676" spans="4:4">
      <c r="D676" s="33" t="s">
        <v>324</v>
      </c>
    </row>
    <row r="677" spans="4:4">
      <c r="D677" s="33" t="s">
        <v>325</v>
      </c>
    </row>
    <row r="678" spans="4:4">
      <c r="D678" s="33" t="s">
        <v>326</v>
      </c>
    </row>
    <row r="679" spans="4:4">
      <c r="D679" s="33" t="s">
        <v>327</v>
      </c>
    </row>
    <row r="680" spans="4:4">
      <c r="D680" s="33" t="s">
        <v>328</v>
      </c>
    </row>
    <row r="681" spans="4:4">
      <c r="D681" s="33" t="s">
        <v>329</v>
      </c>
    </row>
    <row r="682" spans="4:4">
      <c r="D682" s="33" t="s">
        <v>330</v>
      </c>
    </row>
    <row r="683" spans="4:4">
      <c r="D683" s="33" t="s">
        <v>331</v>
      </c>
    </row>
    <row r="684" spans="4:4">
      <c r="D684" s="33" t="s">
        <v>332</v>
      </c>
    </row>
    <row r="685" spans="4:4">
      <c r="D685" s="33" t="s">
        <v>333</v>
      </c>
    </row>
    <row r="686" spans="4:4">
      <c r="D686" s="33" t="s">
        <v>334</v>
      </c>
    </row>
    <row r="687" spans="4:4">
      <c r="D687" s="33" t="s">
        <v>335</v>
      </c>
    </row>
    <row r="688" spans="4:4">
      <c r="D688" s="33" t="s">
        <v>336</v>
      </c>
    </row>
    <row r="689" spans="4:4">
      <c r="D689" s="33" t="s">
        <v>337</v>
      </c>
    </row>
    <row r="690" spans="4:4">
      <c r="D690" s="33" t="s">
        <v>338</v>
      </c>
    </row>
    <row r="691" spans="4:4">
      <c r="D691" s="33" t="s">
        <v>339</v>
      </c>
    </row>
    <row r="692" spans="4:4">
      <c r="D692" s="33" t="s">
        <v>340</v>
      </c>
    </row>
    <row r="693" spans="4:4">
      <c r="D693" s="33" t="s">
        <v>341</v>
      </c>
    </row>
    <row r="694" spans="4:4">
      <c r="D694" s="33" t="s">
        <v>342</v>
      </c>
    </row>
    <row r="695" spans="4:4">
      <c r="D695" s="33" t="s">
        <v>343</v>
      </c>
    </row>
    <row r="696" spans="4:4">
      <c r="D696" s="33" t="s">
        <v>344</v>
      </c>
    </row>
    <row r="697" spans="4:4">
      <c r="D697" s="33" t="s">
        <v>345</v>
      </c>
    </row>
    <row r="698" spans="4:4">
      <c r="D698" s="33" t="s">
        <v>346</v>
      </c>
    </row>
    <row r="699" spans="4:4">
      <c r="D699" s="33" t="s">
        <v>347</v>
      </c>
    </row>
    <row r="700" spans="4:4">
      <c r="D700" s="33" t="s">
        <v>348</v>
      </c>
    </row>
    <row r="701" spans="4:4">
      <c r="D701" s="33" t="s">
        <v>349</v>
      </c>
    </row>
    <row r="702" spans="4:4">
      <c r="D702" s="33" t="s">
        <v>350</v>
      </c>
    </row>
    <row r="703" spans="4:4">
      <c r="D703" s="33" t="s">
        <v>351</v>
      </c>
    </row>
    <row r="704" spans="4:4">
      <c r="D704" s="33" t="s">
        <v>352</v>
      </c>
    </row>
    <row r="705" spans="4:4">
      <c r="D705" s="33" t="s">
        <v>353</v>
      </c>
    </row>
    <row r="706" spans="4:4">
      <c r="D706" s="33" t="s">
        <v>354</v>
      </c>
    </row>
    <row r="707" spans="4:4">
      <c r="D707" s="33" t="s">
        <v>355</v>
      </c>
    </row>
    <row r="708" spans="4:4">
      <c r="D708" s="33" t="s">
        <v>356</v>
      </c>
    </row>
    <row r="709" spans="4:4">
      <c r="D709" s="33" t="s">
        <v>357</v>
      </c>
    </row>
    <row r="710" spans="4:4">
      <c r="D710" s="33" t="s">
        <v>358</v>
      </c>
    </row>
    <row r="711" spans="4:4">
      <c r="D711" s="33" t="s">
        <v>359</v>
      </c>
    </row>
    <row r="712" spans="4:4">
      <c r="D712" s="33" t="s">
        <v>360</v>
      </c>
    </row>
    <row r="713" spans="4:4">
      <c r="D713" s="33" t="s">
        <v>361</v>
      </c>
    </row>
    <row r="714" spans="4:4">
      <c r="D714" s="33" t="s">
        <v>362</v>
      </c>
    </row>
    <row r="715" spans="4:4">
      <c r="D715" s="33" t="s">
        <v>363</v>
      </c>
    </row>
    <row r="716" spans="4:4">
      <c r="D716" s="33" t="s">
        <v>364</v>
      </c>
    </row>
    <row r="717" spans="4:4">
      <c r="D717" s="33" t="s">
        <v>365</v>
      </c>
    </row>
    <row r="718" spans="4:4">
      <c r="D718" s="33" t="s">
        <v>366</v>
      </c>
    </row>
    <row r="719" spans="4:4">
      <c r="D719" s="33" t="s">
        <v>367</v>
      </c>
    </row>
    <row r="720" spans="4:4">
      <c r="D720" s="33" t="s">
        <v>368</v>
      </c>
    </row>
    <row r="721" spans="4:4">
      <c r="D721" s="33" t="s">
        <v>369</v>
      </c>
    </row>
    <row r="722" spans="4:4">
      <c r="D722" s="33" t="s">
        <v>370</v>
      </c>
    </row>
    <row r="723" spans="4:4">
      <c r="D723" s="33" t="s">
        <v>371</v>
      </c>
    </row>
    <row r="724" spans="4:4">
      <c r="D724" s="33" t="s">
        <v>372</v>
      </c>
    </row>
    <row r="725" spans="4:4">
      <c r="D725" s="33" t="s">
        <v>373</v>
      </c>
    </row>
    <row r="726" spans="4:4">
      <c r="D726" s="33" t="s">
        <v>501</v>
      </c>
    </row>
    <row r="727" spans="4:4">
      <c r="D727" s="33" t="s">
        <v>502</v>
      </c>
    </row>
    <row r="728" spans="4:4">
      <c r="D728" s="33" t="s">
        <v>503</v>
      </c>
    </row>
    <row r="729" spans="4:4">
      <c r="D729" s="33" t="s">
        <v>504</v>
      </c>
    </row>
    <row r="730" spans="4:4">
      <c r="D730" s="33" t="s">
        <v>505</v>
      </c>
    </row>
    <row r="731" spans="4:4">
      <c r="D731" s="33" t="s">
        <v>506</v>
      </c>
    </row>
    <row r="732" spans="4:4">
      <c r="D732" s="33" t="s">
        <v>507</v>
      </c>
    </row>
    <row r="733" spans="4:4">
      <c r="D733" s="33" t="s">
        <v>508</v>
      </c>
    </row>
    <row r="734" spans="4:4">
      <c r="D734" s="33" t="s">
        <v>509</v>
      </c>
    </row>
    <row r="735" spans="4:4">
      <c r="D735" s="33" t="s">
        <v>510</v>
      </c>
    </row>
    <row r="736" spans="4:4">
      <c r="D736" s="33" t="s">
        <v>511</v>
      </c>
    </row>
    <row r="737" spans="4:4">
      <c r="D737" s="33" t="s">
        <v>512</v>
      </c>
    </row>
    <row r="738" spans="4:4">
      <c r="D738" s="33" t="s">
        <v>513</v>
      </c>
    </row>
    <row r="739" spans="4:4">
      <c r="D739" s="33" t="s">
        <v>239</v>
      </c>
    </row>
    <row r="740" spans="4:4">
      <c r="D740" s="33" t="s">
        <v>39</v>
      </c>
    </row>
    <row r="741" spans="4:4">
      <c r="D741" s="33" t="s">
        <v>116</v>
      </c>
    </row>
    <row r="742" spans="4:4">
      <c r="D742" s="33" t="s">
        <v>514</v>
      </c>
    </row>
    <row r="743" spans="4:4">
      <c r="D743" s="33" t="s">
        <v>515</v>
      </c>
    </row>
    <row r="744" spans="4:4">
      <c r="D744" s="33" t="s">
        <v>500</v>
      </c>
    </row>
    <row r="745" spans="4:4">
      <c r="D745" s="33" t="s">
        <v>516</v>
      </c>
    </row>
    <row r="746" spans="4:4">
      <c r="D746" s="33" t="s">
        <v>330</v>
      </c>
    </row>
    <row r="747" spans="4:4">
      <c r="D747" s="33" t="s">
        <v>517</v>
      </c>
    </row>
    <row r="748" spans="4:4">
      <c r="D748" s="33" t="s">
        <v>518</v>
      </c>
    </row>
    <row r="749" spans="4:4">
      <c r="D749" s="33" t="s">
        <v>519</v>
      </c>
    </row>
    <row r="750" spans="4:4">
      <c r="D750" s="33" t="s">
        <v>520</v>
      </c>
    </row>
    <row r="751" spans="4:4">
      <c r="D751" s="33" t="s">
        <v>521</v>
      </c>
    </row>
    <row r="752" spans="4:4">
      <c r="D752" s="33" t="s">
        <v>522</v>
      </c>
    </row>
    <row r="753" spans="4:4">
      <c r="D753" s="33" t="s">
        <v>523</v>
      </c>
    </row>
    <row r="754" spans="4:4">
      <c r="D754" s="33" t="s">
        <v>524</v>
      </c>
    </row>
    <row r="755" spans="4:4">
      <c r="D755" s="33" t="s">
        <v>525</v>
      </c>
    </row>
    <row r="756" spans="4:4">
      <c r="D756" s="33" t="s">
        <v>526</v>
      </c>
    </row>
    <row r="757" spans="4:4">
      <c r="D757" s="33" t="s">
        <v>527</v>
      </c>
    </row>
    <row r="758" spans="4:4">
      <c r="D758" s="33" t="s">
        <v>528</v>
      </c>
    </row>
    <row r="759" spans="4:4">
      <c r="D759" s="33" t="s">
        <v>529</v>
      </c>
    </row>
    <row r="760" spans="4:4">
      <c r="D760" s="33" t="s">
        <v>530</v>
      </c>
    </row>
    <row r="761" spans="4:4">
      <c r="D761" s="33" t="s">
        <v>531</v>
      </c>
    </row>
    <row r="762" spans="4:4">
      <c r="D762" s="33" t="s">
        <v>532</v>
      </c>
    </row>
    <row r="763" spans="4:4">
      <c r="D763" s="33" t="s">
        <v>533</v>
      </c>
    </row>
    <row r="764" spans="4:4">
      <c r="D764" s="33" t="s">
        <v>534</v>
      </c>
    </row>
    <row r="765" spans="4:4">
      <c r="D765" s="33" t="s">
        <v>535</v>
      </c>
    </row>
    <row r="766" spans="4:4">
      <c r="D766" s="33" t="s">
        <v>536</v>
      </c>
    </row>
    <row r="767" spans="4:4">
      <c r="D767" s="33" t="s">
        <v>537</v>
      </c>
    </row>
    <row r="768" spans="4:4">
      <c r="D768" s="33" t="s">
        <v>538</v>
      </c>
    </row>
    <row r="769" spans="4:4">
      <c r="D769" s="33" t="s">
        <v>539</v>
      </c>
    </row>
    <row r="770" spans="4:4">
      <c r="D770" s="33" t="s">
        <v>540</v>
      </c>
    </row>
    <row r="771" spans="4:4">
      <c r="D771" s="33" t="s">
        <v>541</v>
      </c>
    </row>
    <row r="772" spans="4:4">
      <c r="D772" s="33" t="s">
        <v>542</v>
      </c>
    </row>
    <row r="773" spans="4:4">
      <c r="D773" s="33" t="s">
        <v>543</v>
      </c>
    </row>
    <row r="774" spans="4:4">
      <c r="D774" s="33" t="s">
        <v>544</v>
      </c>
    </row>
    <row r="775" spans="4:4">
      <c r="D775" s="33" t="s">
        <v>545</v>
      </c>
    </row>
    <row r="776" spans="4:4">
      <c r="D776" s="33" t="s">
        <v>546</v>
      </c>
    </row>
    <row r="777" spans="4:4">
      <c r="D777" s="33" t="s">
        <v>547</v>
      </c>
    </row>
    <row r="778" spans="4:4">
      <c r="D778" s="33" t="s">
        <v>548</v>
      </c>
    </row>
    <row r="779" spans="4:4">
      <c r="D779" s="33" t="s">
        <v>549</v>
      </c>
    </row>
    <row r="780" spans="4:4">
      <c r="D780" s="33" t="s">
        <v>550</v>
      </c>
    </row>
    <row r="781" spans="4:4">
      <c r="D781" s="33" t="s">
        <v>551</v>
      </c>
    </row>
    <row r="782" spans="4:4">
      <c r="D782" s="33" t="s">
        <v>552</v>
      </c>
    </row>
    <row r="783" spans="4:4">
      <c r="D783" s="33" t="s">
        <v>553</v>
      </c>
    </row>
    <row r="784" spans="4:4">
      <c r="D784" s="33" t="s">
        <v>554</v>
      </c>
    </row>
    <row r="785" spans="4:4">
      <c r="D785" s="33" t="s">
        <v>555</v>
      </c>
    </row>
    <row r="786" spans="4:4">
      <c r="D786" s="33" t="s">
        <v>556</v>
      </c>
    </row>
    <row r="787" spans="4:4">
      <c r="D787" s="33" t="s">
        <v>557</v>
      </c>
    </row>
    <row r="788" spans="4:4">
      <c r="D788" s="33" t="s">
        <v>558</v>
      </c>
    </row>
    <row r="789" spans="4:4">
      <c r="D789" s="33" t="s">
        <v>559</v>
      </c>
    </row>
    <row r="790" spans="4:4">
      <c r="D790" s="33" t="s">
        <v>560</v>
      </c>
    </row>
    <row r="791" spans="4:4">
      <c r="D791" s="33" t="s">
        <v>561</v>
      </c>
    </row>
    <row r="792" spans="4:4">
      <c r="D792" s="33" t="s">
        <v>562</v>
      </c>
    </row>
    <row r="793" spans="4:4">
      <c r="D793" s="33" t="s">
        <v>563</v>
      </c>
    </row>
    <row r="794" spans="4:4">
      <c r="D794" s="33" t="s">
        <v>564</v>
      </c>
    </row>
    <row r="795" spans="4:4">
      <c r="D795" s="33" t="s">
        <v>565</v>
      </c>
    </row>
    <row r="796" spans="4:4">
      <c r="D796" s="33" t="s">
        <v>566</v>
      </c>
    </row>
    <row r="797" spans="4:4">
      <c r="D797" s="33" t="s">
        <v>567</v>
      </c>
    </row>
    <row r="798" spans="4:4">
      <c r="D798" s="33" t="s">
        <v>568</v>
      </c>
    </row>
    <row r="799" spans="4:4">
      <c r="D799" s="33" t="s">
        <v>427</v>
      </c>
    </row>
    <row r="800" spans="4:4">
      <c r="D800" s="33" t="s">
        <v>569</v>
      </c>
    </row>
    <row r="801" spans="4:4">
      <c r="D801" s="33" t="s">
        <v>570</v>
      </c>
    </row>
    <row r="802" spans="4:4">
      <c r="D802" s="33" t="s">
        <v>571</v>
      </c>
    </row>
    <row r="803" spans="4:4">
      <c r="D803" s="33" t="s">
        <v>572</v>
      </c>
    </row>
    <row r="804" spans="4:4">
      <c r="D804" s="33" t="s">
        <v>573</v>
      </c>
    </row>
    <row r="805" spans="4:4">
      <c r="D805" s="33" t="s">
        <v>574</v>
      </c>
    </row>
    <row r="806" spans="4:4">
      <c r="D806" s="33" t="s">
        <v>575</v>
      </c>
    </row>
    <row r="807" spans="4:4">
      <c r="D807" s="33" t="s">
        <v>576</v>
      </c>
    </row>
    <row r="808" spans="4:4">
      <c r="D808" s="33" t="s">
        <v>577</v>
      </c>
    </row>
    <row r="809" spans="4:4">
      <c r="D809" s="33" t="s">
        <v>578</v>
      </c>
    </row>
    <row r="810" spans="4:4">
      <c r="D810" s="33" t="s">
        <v>579</v>
      </c>
    </row>
    <row r="811" spans="4:4">
      <c r="D811" s="33" t="s">
        <v>580</v>
      </c>
    </row>
    <row r="812" spans="4:4">
      <c r="D812" s="33" t="s">
        <v>581</v>
      </c>
    </row>
    <row r="813" spans="4:4">
      <c r="D813" s="33" t="s">
        <v>582</v>
      </c>
    </row>
    <row r="814" spans="4:4">
      <c r="D814" s="33" t="s">
        <v>583</v>
      </c>
    </row>
    <row r="815" spans="4:4">
      <c r="D815" s="33" t="s">
        <v>584</v>
      </c>
    </row>
    <row r="816" spans="4:4">
      <c r="D816" s="33" t="s">
        <v>585</v>
      </c>
    </row>
    <row r="817" spans="4:4">
      <c r="D817" s="33" t="s">
        <v>444</v>
      </c>
    </row>
    <row r="818" spans="4:4">
      <c r="D818" s="33" t="s">
        <v>586</v>
      </c>
    </row>
    <row r="819" spans="4:4">
      <c r="D819" s="33" t="s">
        <v>587</v>
      </c>
    </row>
    <row r="820" spans="4:4">
      <c r="D820" s="33" t="s">
        <v>588</v>
      </c>
    </row>
    <row r="821" spans="4:4">
      <c r="D821" s="33" t="s">
        <v>589</v>
      </c>
    </row>
    <row r="822" spans="4:4">
      <c r="D822" s="33" t="s">
        <v>590</v>
      </c>
    </row>
    <row r="823" spans="4:4">
      <c r="D823" s="33" t="s">
        <v>591</v>
      </c>
    </row>
    <row r="824" spans="4:4">
      <c r="D824" s="33" t="s">
        <v>592</v>
      </c>
    </row>
    <row r="825" spans="4:4">
      <c r="D825" s="33" t="s">
        <v>593</v>
      </c>
    </row>
    <row r="826" spans="4:4">
      <c r="D826" s="33" t="s">
        <v>594</v>
      </c>
    </row>
    <row r="827" spans="4:4">
      <c r="D827" s="33" t="s">
        <v>595</v>
      </c>
    </row>
    <row r="828" spans="4:4">
      <c r="D828" s="33" t="s">
        <v>596</v>
      </c>
    </row>
    <row r="829" spans="4:4">
      <c r="D829" s="33" t="s">
        <v>597</v>
      </c>
    </row>
    <row r="830" spans="4:4">
      <c r="D830" s="33" t="s">
        <v>598</v>
      </c>
    </row>
    <row r="831" spans="4:4">
      <c r="D831" s="33" t="s">
        <v>599</v>
      </c>
    </row>
    <row r="832" spans="4:4">
      <c r="D832" s="33" t="s">
        <v>600</v>
      </c>
    </row>
    <row r="833" spans="4:4">
      <c r="D833" s="33" t="s">
        <v>601</v>
      </c>
    </row>
    <row r="834" spans="4:4">
      <c r="D834" s="33" t="s">
        <v>602</v>
      </c>
    </row>
    <row r="835" spans="4:4">
      <c r="D835" s="33" t="s">
        <v>603</v>
      </c>
    </row>
    <row r="836" spans="4:4">
      <c r="D836" s="33" t="s">
        <v>604</v>
      </c>
    </row>
    <row r="837" spans="4:4">
      <c r="D837" s="33" t="s">
        <v>605</v>
      </c>
    </row>
    <row r="838" spans="4:4">
      <c r="D838" s="33" t="s">
        <v>606</v>
      </c>
    </row>
    <row r="839" spans="4:4">
      <c r="D839" s="33" t="s">
        <v>607</v>
      </c>
    </row>
    <row r="840" spans="4:4">
      <c r="D840" s="33" t="s">
        <v>608</v>
      </c>
    </row>
    <row r="841" spans="4:4">
      <c r="D841" s="33" t="s">
        <v>609</v>
      </c>
    </row>
    <row r="842" spans="4:4">
      <c r="D842" s="33" t="s">
        <v>610</v>
      </c>
    </row>
    <row r="843" spans="4:4">
      <c r="D843" s="33" t="s">
        <v>611</v>
      </c>
    </row>
    <row r="844" spans="4:4">
      <c r="D844" s="33" t="s">
        <v>612</v>
      </c>
    </row>
    <row r="845" spans="4:4">
      <c r="D845" s="33" t="s">
        <v>613</v>
      </c>
    </row>
    <row r="846" spans="4:4">
      <c r="D846" s="33" t="s">
        <v>614</v>
      </c>
    </row>
    <row r="847" spans="4:4">
      <c r="D847" s="33" t="s">
        <v>615</v>
      </c>
    </row>
    <row r="848" spans="4:4">
      <c r="D848" s="33" t="s">
        <v>616</v>
      </c>
    </row>
    <row r="849" spans="4:4">
      <c r="D849" s="33" t="s">
        <v>617</v>
      </c>
    </row>
    <row r="850" spans="4:4">
      <c r="D850" s="33" t="s">
        <v>618</v>
      </c>
    </row>
    <row r="851" spans="4:4">
      <c r="D851" s="33" t="s">
        <v>619</v>
      </c>
    </row>
    <row r="852" spans="4:4">
      <c r="D852" s="33" t="s">
        <v>620</v>
      </c>
    </row>
    <row r="853" spans="4:4">
      <c r="D853" s="33" t="s">
        <v>621</v>
      </c>
    </row>
    <row r="854" spans="4:4">
      <c r="D854" s="33" t="s">
        <v>622</v>
      </c>
    </row>
    <row r="855" spans="4:4">
      <c r="D855" s="33" t="s">
        <v>623</v>
      </c>
    </row>
    <row r="856" spans="4:4">
      <c r="D856" s="33" t="s">
        <v>624</v>
      </c>
    </row>
    <row r="857" spans="4:4">
      <c r="D857" s="33" t="s">
        <v>625</v>
      </c>
    </row>
    <row r="858" spans="4:4">
      <c r="D858" s="33" t="s">
        <v>626</v>
      </c>
    </row>
    <row r="859" spans="4:4">
      <c r="D859" s="33" t="s">
        <v>627</v>
      </c>
    </row>
    <row r="860" spans="4:4">
      <c r="D860" s="33" t="s">
        <v>628</v>
      </c>
    </row>
    <row r="861" spans="4:4">
      <c r="D861" s="33" t="s">
        <v>629</v>
      </c>
    </row>
    <row r="862" spans="4:4">
      <c r="D862" s="33" t="s">
        <v>630</v>
      </c>
    </row>
    <row r="863" spans="4:4">
      <c r="D863" s="33" t="s">
        <v>631</v>
      </c>
    </row>
    <row r="864" spans="4:4">
      <c r="D864" s="33" t="s">
        <v>632</v>
      </c>
    </row>
    <row r="865" spans="4:4">
      <c r="D865" s="33" t="s">
        <v>633</v>
      </c>
    </row>
    <row r="866" spans="4:4">
      <c r="D866" s="33" t="s">
        <v>634</v>
      </c>
    </row>
    <row r="867" spans="4:4">
      <c r="D867" s="33" t="s">
        <v>635</v>
      </c>
    </row>
    <row r="868" spans="4:4">
      <c r="D868" s="33" t="s">
        <v>636</v>
      </c>
    </row>
    <row r="869" spans="4:4">
      <c r="D869" s="33" t="s">
        <v>637</v>
      </c>
    </row>
    <row r="870" spans="4:4">
      <c r="D870" s="33" t="s">
        <v>638</v>
      </c>
    </row>
    <row r="871" spans="4:4">
      <c r="D871" s="33" t="s">
        <v>639</v>
      </c>
    </row>
    <row r="872" spans="4:4">
      <c r="D872" s="33" t="s">
        <v>640</v>
      </c>
    </row>
    <row r="873" spans="4:4">
      <c r="D873" s="33" t="s">
        <v>641</v>
      </c>
    </row>
    <row r="874" spans="4:4">
      <c r="D874" s="33" t="s">
        <v>642</v>
      </c>
    </row>
    <row r="875" spans="4:4">
      <c r="D875" s="33" t="s">
        <v>643</v>
      </c>
    </row>
    <row r="876" spans="4:4">
      <c r="D876" s="33" t="s">
        <v>644</v>
      </c>
    </row>
    <row r="877" spans="4:4">
      <c r="D877" s="33" t="s">
        <v>645</v>
      </c>
    </row>
    <row r="878" spans="4:4">
      <c r="D878" s="33" t="s">
        <v>646</v>
      </c>
    </row>
    <row r="879" spans="4:4">
      <c r="D879" s="33" t="s">
        <v>647</v>
      </c>
    </row>
    <row r="880" spans="4:4">
      <c r="D880" s="33" t="s">
        <v>648</v>
      </c>
    </row>
    <row r="881" spans="4:4">
      <c r="D881" s="33" t="s">
        <v>649</v>
      </c>
    </row>
    <row r="882" spans="4:4">
      <c r="D882" s="33" t="s">
        <v>650</v>
      </c>
    </row>
    <row r="883" spans="4:4">
      <c r="D883" s="33" t="s">
        <v>651</v>
      </c>
    </row>
    <row r="884" spans="4:4">
      <c r="D884" s="33" t="s">
        <v>652</v>
      </c>
    </row>
    <row r="885" spans="4:4">
      <c r="D885" s="33" t="s">
        <v>653</v>
      </c>
    </row>
    <row r="886" spans="4:4">
      <c r="D886" s="33" t="s">
        <v>654</v>
      </c>
    </row>
    <row r="887" spans="4:4">
      <c r="D887" s="33" t="s">
        <v>655</v>
      </c>
    </row>
    <row r="888" spans="4:4">
      <c r="D888" s="33" t="s">
        <v>656</v>
      </c>
    </row>
    <row r="889" spans="4:4">
      <c r="D889" s="33" t="s">
        <v>657</v>
      </c>
    </row>
    <row r="890" spans="4:4">
      <c r="D890" s="33" t="s">
        <v>658</v>
      </c>
    </row>
    <row r="891" spans="4:4">
      <c r="D891" s="33" t="s">
        <v>659</v>
      </c>
    </row>
    <row r="892" spans="4:4">
      <c r="D892" s="33" t="s">
        <v>660</v>
      </c>
    </row>
    <row r="893" spans="4:4">
      <c r="D893" s="33" t="s">
        <v>661</v>
      </c>
    </row>
    <row r="894" spans="4:4">
      <c r="D894" s="33" t="s">
        <v>662</v>
      </c>
    </row>
    <row r="895" spans="4:4">
      <c r="D895" s="33" t="s">
        <v>663</v>
      </c>
    </row>
    <row r="896" spans="4:4">
      <c r="D896" s="33" t="s">
        <v>664</v>
      </c>
    </row>
    <row r="897" spans="4:4">
      <c r="D897" s="33" t="s">
        <v>665</v>
      </c>
    </row>
    <row r="898" spans="4:4">
      <c r="D898" s="33" t="s">
        <v>666</v>
      </c>
    </row>
    <row r="899" spans="4:4">
      <c r="D899" s="33" t="s">
        <v>667</v>
      </c>
    </row>
    <row r="900" spans="4:4">
      <c r="D900" s="33" t="s">
        <v>668</v>
      </c>
    </row>
    <row r="901" spans="4:4">
      <c r="D901" s="33" t="s">
        <v>669</v>
      </c>
    </row>
    <row r="902" spans="4:4">
      <c r="D902" s="33" t="s">
        <v>670</v>
      </c>
    </row>
    <row r="903" spans="4:4">
      <c r="D903" s="33" t="s">
        <v>671</v>
      </c>
    </row>
    <row r="904" spans="4:4">
      <c r="D904" s="33" t="s">
        <v>672</v>
      </c>
    </row>
    <row r="905" spans="4:4">
      <c r="D905" s="33" t="s">
        <v>673</v>
      </c>
    </row>
    <row r="906" spans="4:4">
      <c r="D906" s="33" t="s">
        <v>674</v>
      </c>
    </row>
    <row r="907" spans="4:4">
      <c r="D907" s="33" t="s">
        <v>675</v>
      </c>
    </row>
    <row r="908" spans="4:4">
      <c r="D908" s="33" t="s">
        <v>676</v>
      </c>
    </row>
    <row r="909" spans="4:4">
      <c r="D909" s="33" t="s">
        <v>677</v>
      </c>
    </row>
    <row r="910" spans="4:4">
      <c r="D910" s="33" t="s">
        <v>678</v>
      </c>
    </row>
    <row r="911" spans="4:4">
      <c r="D911" s="33" t="s">
        <v>679</v>
      </c>
    </row>
    <row r="912" spans="4:4">
      <c r="D912" s="33" t="s">
        <v>680</v>
      </c>
    </row>
    <row r="913" spans="4:4">
      <c r="D913" s="33" t="s">
        <v>681</v>
      </c>
    </row>
    <row r="914" spans="4:4">
      <c r="D914" s="33" t="s">
        <v>682</v>
      </c>
    </row>
    <row r="915" spans="4:4">
      <c r="D915" s="33" t="s">
        <v>683</v>
      </c>
    </row>
    <row r="916" spans="4:4">
      <c r="D916" s="33" t="s">
        <v>684</v>
      </c>
    </row>
    <row r="917" spans="4:4">
      <c r="D917" s="33" t="s">
        <v>685</v>
      </c>
    </row>
    <row r="918" spans="4:4">
      <c r="D918" s="33" t="s">
        <v>686</v>
      </c>
    </row>
    <row r="919" spans="4:4">
      <c r="D919" s="33" t="s">
        <v>687</v>
      </c>
    </row>
    <row r="920" spans="4:4">
      <c r="D920" s="33" t="s">
        <v>688</v>
      </c>
    </row>
    <row r="921" spans="4:4">
      <c r="D921" s="33" t="s">
        <v>689</v>
      </c>
    </row>
    <row r="922" spans="4:4">
      <c r="D922" s="33" t="s">
        <v>690</v>
      </c>
    </row>
    <row r="923" spans="4:4">
      <c r="D923" s="33" t="s">
        <v>691</v>
      </c>
    </row>
    <row r="924" spans="4:4">
      <c r="D924" s="33" t="s">
        <v>692</v>
      </c>
    </row>
    <row r="925" spans="4:4">
      <c r="D925" s="33" t="s">
        <v>693</v>
      </c>
    </row>
    <row r="926" spans="4:4">
      <c r="D926" s="33" t="s">
        <v>694</v>
      </c>
    </row>
    <row r="927" spans="4:4">
      <c r="D927" s="33" t="s">
        <v>695</v>
      </c>
    </row>
    <row r="928" spans="4:4">
      <c r="D928" s="33" t="s">
        <v>696</v>
      </c>
    </row>
    <row r="929" spans="4:4">
      <c r="D929" s="33" t="s">
        <v>697</v>
      </c>
    </row>
    <row r="930" spans="4:4">
      <c r="D930" s="33" t="s">
        <v>698</v>
      </c>
    </row>
    <row r="931" spans="4:4">
      <c r="D931" s="33" t="s">
        <v>699</v>
      </c>
    </row>
    <row r="932" spans="4:4">
      <c r="D932" s="33" t="s">
        <v>700</v>
      </c>
    </row>
    <row r="933" spans="4:4">
      <c r="D933" s="33" t="s">
        <v>701</v>
      </c>
    </row>
    <row r="934" spans="4:4">
      <c r="D934" s="33" t="s">
        <v>702</v>
      </c>
    </row>
    <row r="935" spans="4:4">
      <c r="D935" s="33" t="s">
        <v>703</v>
      </c>
    </row>
    <row r="936" spans="4:4">
      <c r="D936" s="33" t="s">
        <v>704</v>
      </c>
    </row>
    <row r="937" spans="4:4">
      <c r="D937" s="33" t="s">
        <v>705</v>
      </c>
    </row>
    <row r="938" spans="4:4">
      <c r="D938" s="33" t="s">
        <v>706</v>
      </c>
    </row>
    <row r="939" spans="4:4">
      <c r="D939" s="33" t="s">
        <v>707</v>
      </c>
    </row>
    <row r="940" spans="4:4">
      <c r="D940" s="33" t="s">
        <v>125</v>
      </c>
    </row>
    <row r="941" spans="4:4">
      <c r="D941" s="33" t="s">
        <v>708</v>
      </c>
    </row>
    <row r="942" spans="4:4">
      <c r="D942" s="33" t="s">
        <v>709</v>
      </c>
    </row>
    <row r="943" spans="4:4">
      <c r="D943" s="33" t="s">
        <v>710</v>
      </c>
    </row>
    <row r="944" spans="4:4">
      <c r="D944" s="33" t="s">
        <v>711</v>
      </c>
    </row>
    <row r="945" spans="4:4">
      <c r="D945" s="33" t="s">
        <v>712</v>
      </c>
    </row>
    <row r="946" spans="4:4">
      <c r="D946" s="33" t="s">
        <v>713</v>
      </c>
    </row>
    <row r="947" spans="4:4">
      <c r="D947" s="33" t="s">
        <v>714</v>
      </c>
    </row>
    <row r="948" spans="4:4">
      <c r="D948" s="33" t="s">
        <v>715</v>
      </c>
    </row>
    <row r="949" spans="4:4">
      <c r="D949" s="33" t="s">
        <v>716</v>
      </c>
    </row>
  </sheetData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Puntos de Generación</vt:lpstr>
      <vt:lpstr>Conf.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Piña</dc:creator>
  <cp:lastModifiedBy>dalila</cp:lastModifiedBy>
  <dcterms:created xsi:type="dcterms:W3CDTF">2024-01-12T13:25:28Z</dcterms:created>
  <dcterms:modified xsi:type="dcterms:W3CDTF">2024-08-06T11:12:54Z</dcterms:modified>
</cp:coreProperties>
</file>